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lobal Warming Paper Submission\Global Warming Paper References\"/>
    </mc:Choice>
  </mc:AlternateContent>
  <xr:revisionPtr revIDLastSave="0" documentId="13_ncr:1_{58E9C422-C126-4707-A647-CC041AE45DF6}" xr6:coauthVersionLast="45" xr6:coauthVersionMax="45" xr10:uidLastSave="{00000000-0000-0000-0000-000000000000}"/>
  <bookViews>
    <workbookView xWindow="-120" yWindow="-120" windowWidth="20730" windowHeight="11160" firstSheet="6" activeTab="9" xr2:uid="{ECF12C1B-5952-49B3-A880-D0E96993FEDA}"/>
  </bookViews>
  <sheets>
    <sheet name="Calc Air Swept Per Acre Corn" sheetId="2" r:id="rId1"/>
    <sheet name="U.S. Corn Yield" sheetId="3" r:id="rId2"/>
    <sheet name="Air Density Vs Elevation" sheetId="4" r:id="rId3"/>
    <sheet name="Air Density Data" sheetId="5" r:id="rId4"/>
    <sheet name="Land Devoted to Corn" sheetId="6" r:id="rId5"/>
    <sheet name="CO2 Concentration Vs. Height" sheetId="7" r:id="rId6"/>
    <sheet name="Corn Statistics" sheetId="8" r:id="rId7"/>
    <sheet name="Corn Stats Transposed" sheetId="9" r:id="rId8"/>
    <sheet name="Soybean Stats" sheetId="10" r:id="rId9"/>
    <sheet name="Wood Densities" sheetId="1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9" i="9" l="1"/>
  <c r="K20" i="9"/>
  <c r="K21" i="9"/>
  <c r="K22" i="9"/>
  <c r="K18" i="9"/>
  <c r="J19" i="9"/>
  <c r="J20" i="9"/>
  <c r="J21" i="9"/>
  <c r="J22" i="9"/>
  <c r="J18" i="9"/>
  <c r="H19" i="9"/>
  <c r="H20" i="9"/>
  <c r="H21" i="9"/>
  <c r="H22" i="9"/>
  <c r="H18" i="9"/>
  <c r="I18" i="9"/>
  <c r="L19" i="9"/>
  <c r="L20" i="9"/>
  <c r="L21" i="9"/>
  <c r="L22" i="9"/>
  <c r="L18" i="9"/>
  <c r="G19" i="9"/>
  <c r="I19" i="9"/>
  <c r="G20" i="9"/>
  <c r="I20" i="9" s="1"/>
  <c r="G21" i="9"/>
  <c r="I21" i="9"/>
  <c r="G22" i="9"/>
  <c r="J10" i="9"/>
  <c r="J11" i="9"/>
  <c r="J12" i="9"/>
  <c r="J13" i="9"/>
  <c r="J9" i="9"/>
  <c r="F19" i="9"/>
  <c r="F20" i="9"/>
  <c r="F21" i="9"/>
  <c r="F22" i="9"/>
  <c r="G18" i="9"/>
  <c r="F18" i="9"/>
  <c r="C18" i="9"/>
  <c r="D18" i="9"/>
  <c r="E18" i="9"/>
  <c r="C19" i="9"/>
  <c r="D19" i="9"/>
  <c r="E19" i="9"/>
  <c r="C20" i="9"/>
  <c r="D20" i="9"/>
  <c r="E20" i="9"/>
  <c r="C21" i="9"/>
  <c r="D21" i="9"/>
  <c r="E21" i="9"/>
  <c r="C22" i="9"/>
  <c r="D22" i="9"/>
  <c r="E22" i="9"/>
  <c r="B18" i="9"/>
  <c r="B19" i="9"/>
  <c r="B20" i="9"/>
  <c r="B21" i="9"/>
  <c r="B22" i="9"/>
  <c r="A18" i="9"/>
  <c r="A19" i="9"/>
  <c r="A20" i="9"/>
  <c r="A21" i="9"/>
  <c r="A22" i="9"/>
  <c r="B17" i="9"/>
  <c r="A17" i="9"/>
  <c r="L30" i="2"/>
  <c r="L28" i="2"/>
  <c r="I22" i="9" l="1"/>
  <c r="F22" i="7"/>
  <c r="Q28" i="2"/>
  <c r="S26" i="2"/>
  <c r="S32" i="2"/>
  <c r="G13" i="5"/>
  <c r="G15" i="5" s="1"/>
  <c r="G17" i="5" s="1"/>
  <c r="T15" i="2" s="1"/>
  <c r="H11" i="5"/>
  <c r="H10" i="5"/>
  <c r="H9" i="5"/>
  <c r="H8" i="5"/>
  <c r="H7" i="5"/>
  <c r="H6" i="5"/>
  <c r="H5" i="5"/>
  <c r="H4" i="5"/>
  <c r="Q12" i="2" l="1"/>
  <c r="Q13" i="2" s="1"/>
  <c r="Q29" i="2" s="1"/>
  <c r="I36" i="2"/>
  <c r="I35" i="2"/>
  <c r="I25" i="2"/>
  <c r="I26" i="2" s="1"/>
  <c r="K18" i="2"/>
  <c r="J18" i="2"/>
  <c r="I18" i="2"/>
  <c r="H18" i="2"/>
  <c r="K17" i="2"/>
  <c r="J17" i="2"/>
  <c r="I17" i="2"/>
  <c r="H17" i="2"/>
  <c r="K16" i="2"/>
  <c r="J16" i="2"/>
  <c r="I16" i="2"/>
  <c r="H16" i="2"/>
  <c r="L15" i="2"/>
  <c r="M15" i="2" s="1"/>
  <c r="L14" i="2"/>
  <c r="M14" i="2" s="1"/>
  <c r="L13" i="2"/>
  <c r="M13" i="2" s="1"/>
  <c r="L12" i="2"/>
  <c r="M12" i="2" s="1"/>
  <c r="L11" i="2"/>
  <c r="B21" i="2"/>
  <c r="D21" i="2" s="1"/>
  <c r="B27" i="2"/>
  <c r="D27" i="2" s="1"/>
  <c r="B22" i="2"/>
  <c r="D22" i="2" s="1"/>
  <c r="D15" i="2"/>
  <c r="D26" i="2" s="1"/>
  <c r="D13" i="2"/>
  <c r="E13" i="2" s="1"/>
  <c r="D14" i="2"/>
  <c r="E14" i="2" s="1"/>
  <c r="D12" i="2"/>
  <c r="E12" i="2" s="1"/>
  <c r="E15" i="2" s="1"/>
  <c r="D28" i="2" l="1"/>
  <c r="L18" i="2"/>
  <c r="I27" i="2"/>
  <c r="I28" i="2" s="1"/>
  <c r="I30" i="2" s="1"/>
  <c r="I38" i="2" s="1"/>
  <c r="I39" i="2" s="1"/>
  <c r="I40" i="2" s="1"/>
  <c r="T18" i="2" s="1"/>
  <c r="T20" i="2" s="1"/>
  <c r="D23" i="2"/>
  <c r="M11" i="2"/>
  <c r="L16" i="2"/>
  <c r="M16" i="2" s="1"/>
  <c r="L17" i="2"/>
  <c r="M17" i="2" s="1"/>
  <c r="R40" i="2" l="1"/>
  <c r="R41" i="2" s="1"/>
</calcChain>
</file>

<file path=xl/sharedStrings.xml><?xml version="1.0" encoding="utf-8"?>
<sst xmlns="http://schemas.openxmlformats.org/spreadsheetml/2006/main" count="335" uniqueCount="286">
  <si>
    <t>C</t>
  </si>
  <si>
    <t>H</t>
  </si>
  <si>
    <t>O</t>
  </si>
  <si>
    <t>Total</t>
  </si>
  <si>
    <t>CO2</t>
  </si>
  <si>
    <t>O2</t>
  </si>
  <si>
    <t>H2O</t>
  </si>
  <si>
    <t>MW</t>
  </si>
  <si>
    <t>Feeds</t>
  </si>
  <si>
    <t>Products</t>
  </si>
  <si>
    <t>Leaves</t>
  </si>
  <si>
    <t>Stems</t>
  </si>
  <si>
    <t>Grain</t>
  </si>
  <si>
    <t>Cobs</t>
  </si>
  <si>
    <t>Avg</t>
  </si>
  <si>
    <t>Std</t>
  </si>
  <si>
    <t>gm CO2/liter air = (22.4 L/mol air)*(mol air/400E-6 mol CO2)*(mol CO2/44.01 gm CO2)</t>
  </si>
  <si>
    <t>cu m</t>
  </si>
  <si>
    <t>Average Density in troposphere/density at 0 ft elevation</t>
  </si>
  <si>
    <t>liters at STP</t>
  </si>
  <si>
    <t>cu m at STP</t>
  </si>
  <si>
    <t>Grain % of Total</t>
  </si>
  <si>
    <t>Area of the globe:</t>
  </si>
  <si>
    <t>km2</t>
  </si>
  <si>
    <t>sq miles</t>
  </si>
  <si>
    <t>Area of land mass:</t>
  </si>
  <si>
    <t>%</t>
  </si>
  <si>
    <t>In 2019,</t>
  </si>
  <si>
    <t>Acres of corn</t>
  </si>
  <si>
    <t>Acres of soy beans</t>
  </si>
  <si>
    <t>MM acres</t>
  </si>
  <si>
    <t>1 square mile</t>
  </si>
  <si>
    <t>acres</t>
  </si>
  <si>
    <t>Glucose</t>
  </si>
  <si>
    <t>C6H12O6</t>
  </si>
  <si>
    <t>Cellulose</t>
  </si>
  <si>
    <t>(C6H10O5)n</t>
  </si>
  <si>
    <t>Starch</t>
  </si>
  <si>
    <t>(C6H10O5)n-H2O</t>
  </si>
  <si>
    <t>Formula</t>
  </si>
  <si>
    <t>Carbon</t>
  </si>
  <si>
    <t>Hydrogen</t>
  </si>
  <si>
    <t>Oxygen</t>
  </si>
  <si>
    <t>Starch Unit</t>
  </si>
  <si>
    <t>No.</t>
  </si>
  <si>
    <t>Wt%</t>
  </si>
  <si>
    <t>(C6H10O5)</t>
  </si>
  <si>
    <t>W. L. Latshaw and E. C. Miller, "Elemental Composition of the Corn Plant,"</t>
  </si>
  <si>
    <t>J. Agricultural Research, Vol. 27, No. 11, p. 845-861 (1924).</t>
  </si>
  <si>
    <t>1 Std bushel</t>
  </si>
  <si>
    <t>lb</t>
  </si>
  <si>
    <t>Moisture Content</t>
  </si>
  <si>
    <t>wt%</t>
  </si>
  <si>
    <t>Corn Weight per Acre</t>
  </si>
  <si>
    <t>Bu/acre</t>
  </si>
  <si>
    <t>Wgt Wet Corn Grain</t>
  </si>
  <si>
    <t>Wgt Dry Corn Grain</t>
  </si>
  <si>
    <t>Dry Wgt Corn Plant</t>
  </si>
  <si>
    <t>lb/acre</t>
  </si>
  <si>
    <t>CO2 in air</t>
  </si>
  <si>
    <t>L air/gm CO2</t>
  </si>
  <si>
    <t>gm CO2/L air</t>
  </si>
  <si>
    <t>gm/acre</t>
  </si>
  <si>
    <t>gm CO2/acre = (gm corn plant/acre)*(264.06 gm CO2)/(162.16 gm carbohydrate)</t>
  </si>
  <si>
    <t>gm CO2/acre corn</t>
  </si>
  <si>
    <t>Liters air/acre corn</t>
  </si>
  <si>
    <t>ppmv</t>
  </si>
  <si>
    <t>1 acre</t>
  </si>
  <si>
    <t>sq m</t>
  </si>
  <si>
    <t>Top of Troposphere</t>
  </si>
  <si>
    <t>ft</t>
  </si>
  <si>
    <t>m</t>
  </si>
  <si>
    <t>Air above 1 acre</t>
  </si>
  <si>
    <t>Geo-potential Altitude above Sea Level</t>
  </si>
  <si>
    <t>Temperature</t>
  </si>
  <si>
    <t>Acceleration of Gravity</t>
  </si>
  <si>
    <t>Absolute Pressure</t>
  </si>
  <si>
    <t>Density</t>
  </si>
  <si>
    <t>Dynamic Viscosity</t>
  </si>
  <si>
    <t>Density Rel to Sea Level</t>
  </si>
  <si>
    <r>
      <t>- </t>
    </r>
    <r>
      <rPr>
        <b/>
        <i/>
        <sz val="8.8000000000000007"/>
        <color rgb="FF000000"/>
        <rFont val="Arial"/>
        <family val="2"/>
      </rPr>
      <t>h</t>
    </r>
    <r>
      <rPr>
        <b/>
        <sz val="8.8000000000000007"/>
        <color rgb="FF000000"/>
        <rFont val="Arial"/>
        <family val="2"/>
      </rPr>
      <t> -</t>
    </r>
  </si>
  <si>
    <r>
      <t>- </t>
    </r>
    <r>
      <rPr>
        <b/>
        <i/>
        <sz val="8.8000000000000007"/>
        <color rgb="FF000000"/>
        <rFont val="Arial"/>
        <family val="2"/>
      </rPr>
      <t>t -</t>
    </r>
  </si>
  <si>
    <r>
      <t>- </t>
    </r>
    <r>
      <rPr>
        <b/>
        <i/>
        <sz val="8.8000000000000007"/>
        <color rgb="FF000000"/>
        <rFont val="Arial"/>
        <family val="2"/>
      </rPr>
      <t>g -</t>
    </r>
  </si>
  <si>
    <r>
      <t>- </t>
    </r>
    <r>
      <rPr>
        <b/>
        <i/>
        <sz val="8.8000000000000007"/>
        <color rgb="FF000000"/>
        <rFont val="Arial"/>
        <family val="2"/>
      </rPr>
      <t>p -</t>
    </r>
  </si>
  <si>
    <r>
      <t>- </t>
    </r>
    <r>
      <rPr>
        <b/>
        <i/>
        <sz val="8.8000000000000007"/>
        <color rgb="FF000000"/>
        <rFont val="Arial"/>
        <family val="2"/>
      </rPr>
      <t>ρ -</t>
    </r>
  </si>
  <si>
    <r>
      <t>- </t>
    </r>
    <r>
      <rPr>
        <b/>
        <i/>
        <sz val="8.8000000000000007"/>
        <color rgb="FF000000"/>
        <rFont val="Arial"/>
        <family val="2"/>
      </rPr>
      <t>μ -</t>
    </r>
  </si>
  <si>
    <t>lb/cu ft</t>
  </si>
  <si>
    <t>(ft)</t>
  </si>
  <si>
    <r>
      <t>(</t>
    </r>
    <r>
      <rPr>
        <b/>
        <i/>
        <vertAlign val="superscript"/>
        <sz val="8.8000000000000007"/>
        <color rgb="FF000000"/>
        <rFont val="Arial"/>
        <family val="2"/>
      </rPr>
      <t>o</t>
    </r>
    <r>
      <rPr>
        <b/>
        <i/>
        <sz val="8.8000000000000007"/>
        <color rgb="FF000000"/>
        <rFont val="Arial"/>
        <family val="2"/>
      </rPr>
      <t>F)</t>
    </r>
  </si>
  <si>
    <r>
      <t>(ft/s</t>
    </r>
    <r>
      <rPr>
        <b/>
        <i/>
        <vertAlign val="superscript"/>
        <sz val="8.8000000000000007"/>
        <color rgb="FF000000"/>
        <rFont val="Arial"/>
        <family val="2"/>
      </rPr>
      <t>2</t>
    </r>
    <r>
      <rPr>
        <b/>
        <i/>
        <sz val="8.8000000000000007"/>
        <color rgb="FF000000"/>
        <rFont val="Arial"/>
        <family val="2"/>
      </rPr>
      <t>)</t>
    </r>
  </si>
  <si>
    <r>
      <t>(lb/in</t>
    </r>
    <r>
      <rPr>
        <b/>
        <i/>
        <vertAlign val="superscript"/>
        <sz val="8.8000000000000007"/>
        <color rgb="FF000000"/>
        <rFont val="Arial"/>
        <family val="2"/>
      </rPr>
      <t>2</t>
    </r>
    <r>
      <rPr>
        <b/>
        <i/>
        <sz val="8.8000000000000007"/>
        <color rgb="FF000000"/>
        <rFont val="Arial"/>
        <family val="2"/>
      </rPr>
      <t>)</t>
    </r>
  </si>
  <si>
    <t>(10-4 slugs/ft3)</t>
  </si>
  <si>
    <r>
      <t>(10</t>
    </r>
    <r>
      <rPr>
        <b/>
        <i/>
        <vertAlign val="superscript"/>
        <sz val="8.8000000000000007"/>
        <color rgb="FF000000"/>
        <rFont val="Arial"/>
        <family val="2"/>
      </rPr>
      <t>-7</t>
    </r>
    <r>
      <rPr>
        <b/>
        <i/>
        <sz val="8.8000000000000007"/>
        <color rgb="FF000000"/>
        <rFont val="Arial"/>
        <family val="2"/>
      </rPr>
      <t> lb s/ft</t>
    </r>
    <r>
      <rPr>
        <b/>
        <i/>
        <vertAlign val="superscript"/>
        <sz val="8.8000000000000007"/>
        <color rgb="FF000000"/>
        <rFont val="Arial"/>
        <family val="2"/>
      </rPr>
      <t>2</t>
    </r>
    <r>
      <rPr>
        <b/>
        <i/>
        <sz val="8.8000000000000007"/>
        <color rgb="FF000000"/>
        <rFont val="Arial"/>
        <family val="2"/>
      </rPr>
      <t>)</t>
    </r>
  </si>
  <si>
    <t>Avg 0-35000 ft</t>
  </si>
  <si>
    <t xml:space="preserve">Average Density / Density at 0 ft elevation </t>
  </si>
  <si>
    <t>Relative to Density at Zero Elevation at STP</t>
  </si>
  <si>
    <t xml:space="preserve"> </t>
  </si>
  <si>
    <t>cu m air/acre corn</t>
  </si>
  <si>
    <t>cu m at Avg T at Zero Elevation</t>
  </si>
  <si>
    <t>Air Needed to Feed Growth of 1 acre of corn</t>
  </si>
  <si>
    <t>Acres air from Zero Elev to Edge of Troposphere</t>
  </si>
  <si>
    <t>to Feed Growth of 1 acre corn</t>
  </si>
  <si>
    <t>% of Globe area</t>
  </si>
  <si>
    <t>Air in Troposphere</t>
  </si>
  <si>
    <t>2019 Air Swept by U.S. Corn</t>
  </si>
  <si>
    <t xml:space="preserve">% of Troposphere Air Swept </t>
  </si>
  <si>
    <t>https://www.nature.com/articles/s41598-017-05804-0</t>
  </si>
  <si>
    <t xml:space="preserve">Note:  Variation about 12 ppmv out of 400 ppmv = </t>
  </si>
  <si>
    <t>https://www.nass.usda.gov/Charts_and_Maps/graphics/cornyld.pdf</t>
  </si>
  <si>
    <t>Use 170 Bu/acre</t>
  </si>
  <si>
    <t>Simplified Photosynthesis Reaction</t>
  </si>
  <si>
    <t>6 CO2 + 6 H2O --&gt; C6H12O6 + 6 O2</t>
  </si>
  <si>
    <t xml:space="preserve">From: </t>
  </si>
  <si>
    <t>https://www.nass.usda.gov/Charts_and_Maps/Field_Crops/cornyld.php</t>
  </si>
  <si>
    <t>metric tonne</t>
  </si>
  <si>
    <t>National Statistics for Corn</t>
  </si>
  <si>
    <t>Data Items</t>
  </si>
  <si>
    <t>CORN - ACRES PLANTED</t>
  </si>
  <si>
    <t>CORN, FOR FUEL ALCOHOL - USAGE, MEASURED IN BU</t>
  </si>
  <si>
    <t>CORN, GRAIN - ACRES HARVESTED</t>
  </si>
  <si>
    <t>CORN, GRAIN - PRODUCTION, MEASURED IN BU</t>
  </si>
  <si>
    <t>CORN, GRAIN - YIELD, MEASURED IN BU / ACRE</t>
  </si>
  <si>
    <t>CORN, SILAGE - ACRES HARVESTED</t>
  </si>
  <si>
    <t>CORN, SILAGE - PRODUCTION, MEASURED IN TONS</t>
  </si>
  <si>
    <t>CORN, SILAGE - YIELD, MEASURED IN TONS / ACRE</t>
  </si>
  <si>
    <t>https://www.nass.usda.gov/Statistics_by_Subject/result.php?9FA0A4C7-3679-3609-A9E5-A89AE0915B03&amp;sector=CROPS&amp;group=FIELD%20CROPS&amp;comm=CORN</t>
  </si>
  <si>
    <t>CORN - MM ACRES PLANTED</t>
  </si>
  <si>
    <t>CORN, FOR FUEL ALCOHOL - USAGE, MM BU</t>
  </si>
  <si>
    <t>CORN, GRAIN - PRODUCTION, MM IN BU</t>
  </si>
  <si>
    <t>CORN, SILAGE -   MM ACRES HARVESTED</t>
  </si>
  <si>
    <t>CORN, SILAGE - PRODUCTION, MM Metric Tonnes</t>
  </si>
  <si>
    <t>CORN, SILAGE -   ACRES HARVESTED</t>
  </si>
  <si>
    <t>See for Corn Silage:</t>
  </si>
  <si>
    <t>http://utbfc.utk.edu/Content%20Folders/Forages/Hay%20and%20Silage/Publications/sp434d.pdf</t>
  </si>
  <si>
    <t>Note:  Corn for silage planted at 20% higher density</t>
  </si>
  <si>
    <t>@ 80% Density</t>
  </si>
  <si>
    <t>Fraction Grain  for Fuel</t>
  </si>
  <si>
    <t>CORN, SILAGE - YIELD, Metric Tonnes / ACRE</t>
  </si>
  <si>
    <t>National Statistics for Soybeans</t>
  </si>
  <si>
    <t>SOYBEANS - CRUSHED, MEASURED IN TONS</t>
  </si>
  <si>
    <t>SOYBEANS - PRODUCTION, MEASURED IN BU</t>
  </si>
  <si>
    <t>SOYBEANS, FOLLOWING ANOTHER CROP (DOUBLE CROPPED) - AREA PLANTED, MEASURED IN PCT</t>
  </si>
  <si>
    <t>https://www.nass.usda.gov/Statistics_by_Subject/result.php?2380F00D-0473-3251-B635-254C48FF780F&amp;sector=CROPS&amp;group=FIELD%20CROPS&amp;comm=SOYBEANS</t>
  </si>
  <si>
    <t>Standard bushel weight of soybeans</t>
  </si>
  <si>
    <t>60 lbs</t>
  </si>
  <si>
    <t>https://cropwatch.unl.edu/harvest-soybeans-13-moisture</t>
  </si>
  <si>
    <t>CORN, GRAIN -   MM ACRES HARVESTED</t>
  </si>
  <si>
    <t>CO2 Used to Produce Corn for Ethanol MM Metric Tonnes</t>
  </si>
  <si>
    <t>Alder</t>
  </si>
  <si>
    <t>420 - 680</t>
  </si>
  <si>
    <t>Afrormosia</t>
  </si>
  <si>
    <t>Agba</t>
  </si>
  <si>
    <t>Apple</t>
  </si>
  <si>
    <t>650 - 850</t>
  </si>
  <si>
    <t>Ash, white</t>
  </si>
  <si>
    <t>Ash, black</t>
  </si>
  <si>
    <t>Ash, European</t>
  </si>
  <si>
    <t>Aspen</t>
  </si>
  <si>
    <t>Balsa</t>
  </si>
  <si>
    <t>110 - 140</t>
  </si>
  <si>
    <t>Bamboo</t>
  </si>
  <si>
    <t>310 - 400</t>
  </si>
  <si>
    <t>Basswood</t>
  </si>
  <si>
    <t>320 - 590</t>
  </si>
  <si>
    <t>Beech</t>
  </si>
  <si>
    <t>700 - 900</t>
  </si>
  <si>
    <t>Birch</t>
  </si>
  <si>
    <t>510 - 770</t>
  </si>
  <si>
    <t>Birch, British</t>
  </si>
  <si>
    <t>Birch, European</t>
  </si>
  <si>
    <t>Blue gum</t>
  </si>
  <si>
    <t>Box</t>
  </si>
  <si>
    <t>950 - 1160</t>
  </si>
  <si>
    <t>Butternut</t>
  </si>
  <si>
    <t>Cedar</t>
  </si>
  <si>
    <t>490 - 570</t>
  </si>
  <si>
    <t>Cedar of Lebanon</t>
  </si>
  <si>
    <t>Cedar, western red</t>
  </si>
  <si>
    <t>Cherry</t>
  </si>
  <si>
    <t>630 - 900</t>
  </si>
  <si>
    <t>Cherry, European</t>
  </si>
  <si>
    <t>Chestnut, sweet</t>
  </si>
  <si>
    <t>Cottonwood</t>
  </si>
  <si>
    <t>Cypress</t>
  </si>
  <si>
    <t>Dogwood</t>
  </si>
  <si>
    <t>Douglas Fir</t>
  </si>
  <si>
    <t>Ebony</t>
  </si>
  <si>
    <t>1110 - 1330</t>
  </si>
  <si>
    <t>Elm</t>
  </si>
  <si>
    <t>540 - 600</t>
  </si>
  <si>
    <t>Elm, American</t>
  </si>
  <si>
    <t>Elm, English</t>
  </si>
  <si>
    <t>550 - 600</t>
  </si>
  <si>
    <t>Elm, Dutch</t>
  </si>
  <si>
    <t>Elm, Wych</t>
  </si>
  <si>
    <t>Elm, Rock</t>
  </si>
  <si>
    <t>Gaboon</t>
  </si>
  <si>
    <t>Greenheart</t>
  </si>
  <si>
    <t>Gum, Black</t>
  </si>
  <si>
    <t>Gum, Blue</t>
  </si>
  <si>
    <t>Gum, Red</t>
  </si>
  <si>
    <t>Hackberry</t>
  </si>
  <si>
    <t>Hemlock, western</t>
  </si>
  <si>
    <t>Hickory</t>
  </si>
  <si>
    <t>600 - 930</t>
  </si>
  <si>
    <t>Holly</t>
  </si>
  <si>
    <t>Iroko</t>
  </si>
  <si>
    <t>Juniper</t>
  </si>
  <si>
    <t>Keruing</t>
  </si>
  <si>
    <t>Larch</t>
  </si>
  <si>
    <t>500 - 560</t>
  </si>
  <si>
    <t>Lignum Vitae</t>
  </si>
  <si>
    <t>1170 - 1330</t>
  </si>
  <si>
    <t>Lime, European</t>
  </si>
  <si>
    <t>Locust</t>
  </si>
  <si>
    <t>670 - 710</t>
  </si>
  <si>
    <t>Logwood</t>
  </si>
  <si>
    <t>Madrone</t>
  </si>
  <si>
    <t>Magnolia</t>
  </si>
  <si>
    <t>Mahogany, African</t>
  </si>
  <si>
    <t>500 - 850</t>
  </si>
  <si>
    <t>Mahogany, Cuban</t>
  </si>
  <si>
    <t>Mahogany, Honduras</t>
  </si>
  <si>
    <t>Mahogany, Spanish</t>
  </si>
  <si>
    <t>Maple</t>
  </si>
  <si>
    <t>620 - 750</t>
  </si>
  <si>
    <t>Meranti, dark red</t>
  </si>
  <si>
    <t>Myrtle</t>
  </si>
  <si>
    <t>Oak</t>
  </si>
  <si>
    <t>600 - 900</t>
  </si>
  <si>
    <t>Oak, American Red</t>
  </si>
  <si>
    <t>Oak, American White</t>
  </si>
  <si>
    <t>Oak, English Brown</t>
  </si>
  <si>
    <t>Obeche</t>
  </si>
  <si>
    <t>Oregon Pine</t>
  </si>
  <si>
    <t>Parana Pine</t>
  </si>
  <si>
    <t>Pear</t>
  </si>
  <si>
    <t>610 - 730</t>
  </si>
  <si>
    <t>Pecan</t>
  </si>
  <si>
    <t>Persimmon</t>
  </si>
  <si>
    <t>Philippine Red Luan</t>
  </si>
  <si>
    <t>Pine, pitch</t>
  </si>
  <si>
    <t>830  850</t>
  </si>
  <si>
    <t>Pine, Corsican</t>
  </si>
  <si>
    <t>Pine, radiata</t>
  </si>
  <si>
    <t>Pine, Scots</t>
  </si>
  <si>
    <t>Pine, white</t>
  </si>
  <si>
    <t>350 - 500</t>
  </si>
  <si>
    <t>Pine, yellow</t>
  </si>
  <si>
    <t>Plane, European</t>
  </si>
  <si>
    <t>Plum</t>
  </si>
  <si>
    <t>660 - 780</t>
  </si>
  <si>
    <t>Poplar</t>
  </si>
  <si>
    <t>Ramin</t>
  </si>
  <si>
    <t>Redwood, American</t>
  </si>
  <si>
    <t>Redwood, European</t>
  </si>
  <si>
    <t>Rosewood, Bolivian</t>
  </si>
  <si>
    <t>Rosewood, East Indian</t>
  </si>
  <si>
    <t>Sapele</t>
  </si>
  <si>
    <t>Satinwood</t>
  </si>
  <si>
    <t>Spruce</t>
  </si>
  <si>
    <t>480 - 780</t>
  </si>
  <si>
    <t>Spruce, Canadian</t>
  </si>
  <si>
    <t>Spruce, Norway</t>
  </si>
  <si>
    <t>Spruce, Sitka</t>
  </si>
  <si>
    <t>Spruce, western white</t>
  </si>
  <si>
    <t>Sycamore</t>
  </si>
  <si>
    <t>400 - 600</t>
  </si>
  <si>
    <t>Tanguile</t>
  </si>
  <si>
    <t>Teak, Indian</t>
  </si>
  <si>
    <t>660 - 980</t>
  </si>
  <si>
    <t>Teak, African</t>
  </si>
  <si>
    <t>Teak, Burma</t>
  </si>
  <si>
    <t>Utile</t>
  </si>
  <si>
    <t>Walnut</t>
  </si>
  <si>
    <t>640 - 700</t>
  </si>
  <si>
    <t>Walnut, Amer Black</t>
  </si>
  <si>
    <t>Walnut, Claro</t>
  </si>
  <si>
    <t>Walnut, European</t>
  </si>
  <si>
    <t>Water gum</t>
  </si>
  <si>
    <t>Whitewood, European</t>
  </si>
  <si>
    <t>Willow</t>
  </si>
  <si>
    <t>Yew</t>
  </si>
  <si>
    <t>Zebrawood</t>
  </si>
  <si>
    <t>kg/m3</t>
  </si>
  <si>
    <t>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</si>
</sst>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E+00"/>
    <numFmt numFmtId="165" formatCode="0.0"/>
    <numFmt numFmtId="166" formatCode="0.000"/>
    <numFmt numFmtId="167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8.8000000000000007"/>
      <color rgb="FF000000"/>
      <name val="Arial"/>
      <family val="2"/>
    </font>
    <font>
      <b/>
      <i/>
      <sz val="8.8000000000000007"/>
      <color rgb="FF000000"/>
      <name val="Arial"/>
      <family val="2"/>
    </font>
    <font>
      <b/>
      <i/>
      <vertAlign val="superscript"/>
      <sz val="8.8000000000000007"/>
      <color rgb="FF000000"/>
      <name val="Arial"/>
      <family val="2"/>
    </font>
    <font>
      <sz val="8.8000000000000007"/>
      <color rgb="FF000000"/>
      <name val="Arial"/>
      <family val="2"/>
    </font>
    <font>
      <b/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333333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8.8000000000000007"/>
      <color rgb="FF3D3D3D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rgb="FFC0C0C0"/>
      </left>
      <right style="medium">
        <color rgb="FFC0C0C0"/>
      </right>
      <top style="thick">
        <color rgb="FFC0C0C0"/>
      </top>
      <bottom/>
      <diagonal/>
    </border>
    <border>
      <left style="medium">
        <color rgb="FFC0C0C0"/>
      </left>
      <right style="medium">
        <color rgb="FFC0C0C0"/>
      </right>
      <top style="thick">
        <color rgb="FFC0C0C0"/>
      </top>
      <bottom/>
      <diagonal/>
    </border>
    <border>
      <left style="medium">
        <color rgb="FFC0C0C0"/>
      </left>
      <right style="thick">
        <color rgb="FFC0C0C0"/>
      </right>
      <top style="thick">
        <color rgb="FFC0C0C0"/>
      </top>
      <bottom/>
      <diagonal/>
    </border>
    <border>
      <left style="thick">
        <color rgb="FFC0C0C0"/>
      </left>
      <right style="medium">
        <color rgb="FFC0C0C0"/>
      </right>
      <top/>
      <bottom/>
      <diagonal/>
    </border>
    <border>
      <left style="medium">
        <color rgb="FFC0C0C0"/>
      </left>
      <right style="medium">
        <color rgb="FFC0C0C0"/>
      </right>
      <top/>
      <bottom/>
      <diagonal/>
    </border>
    <border>
      <left style="medium">
        <color rgb="FFC0C0C0"/>
      </left>
      <right style="thick">
        <color rgb="FFC0C0C0"/>
      </right>
      <top/>
      <bottom/>
      <diagonal/>
    </border>
    <border>
      <left style="medium">
        <color rgb="FFC0C0C0"/>
      </left>
      <right/>
      <top/>
      <bottom/>
      <diagonal/>
    </border>
    <border>
      <left style="thick">
        <color rgb="FFC0C0C0"/>
      </left>
      <right style="medium">
        <color rgb="FFC0C0C0"/>
      </right>
      <top/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  <border>
      <left style="medium">
        <color rgb="FFC0C0C0"/>
      </left>
      <right style="thick">
        <color rgb="FFC0C0C0"/>
      </right>
      <top/>
      <bottom style="medium">
        <color rgb="FFC0C0C0"/>
      </bottom>
      <diagonal/>
    </border>
    <border>
      <left style="thick">
        <color rgb="FFC0C0C0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thick">
        <color rgb="FFC0C0C0"/>
      </right>
      <top style="medium">
        <color rgb="FFCCCCCC"/>
      </top>
      <bottom/>
      <diagonal/>
    </border>
    <border>
      <left style="medium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ck">
        <color rgb="FFC0C0C0"/>
      </left>
      <right style="medium">
        <color rgb="FFCCCCCC"/>
      </right>
      <top style="thick">
        <color rgb="FFC0C0C0"/>
      </top>
      <bottom style="medium">
        <color rgb="FFCCCCCC"/>
      </bottom>
      <diagonal/>
    </border>
    <border>
      <left style="medium">
        <color rgb="FFCCCCCC"/>
      </left>
      <right style="thick">
        <color rgb="FFC0C0C0"/>
      </right>
      <top style="thick">
        <color rgb="FFC0C0C0"/>
      </top>
      <bottom style="medium">
        <color rgb="FFCCCCCC"/>
      </bottom>
      <diagonal/>
    </border>
    <border>
      <left style="thick">
        <color rgb="FFC0C0C0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thick">
        <color rgb="FFC0C0C0"/>
      </right>
      <top style="medium">
        <color rgb="FFCCCCCC"/>
      </top>
      <bottom style="medium">
        <color rgb="FFCCCCCC"/>
      </bottom>
      <diagonal/>
    </border>
    <border>
      <left style="thick">
        <color rgb="FFC0C0C0"/>
      </left>
      <right style="medium">
        <color rgb="FFCCCCCC"/>
      </right>
      <top style="medium">
        <color rgb="FFCCCCCC"/>
      </top>
      <bottom style="thick">
        <color rgb="FFC0C0C0"/>
      </bottom>
      <diagonal/>
    </border>
    <border>
      <left style="medium">
        <color rgb="FFCCCCCC"/>
      </left>
      <right style="thick">
        <color rgb="FFC0C0C0"/>
      </right>
      <top style="medium">
        <color rgb="FFCCCCCC"/>
      </top>
      <bottom style="thick">
        <color rgb="FFC0C0C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5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quotePrefix="1"/>
    <xf numFmtId="0" fontId="0" fillId="2" borderId="1" xfId="0" applyFill="1" applyBorder="1" applyAlignment="1">
      <alignment horizontal="center"/>
    </xf>
    <xf numFmtId="165" fontId="0" fillId="2" borderId="1" xfId="0" applyNumberFormat="1" applyFill="1" applyBorder="1" applyAlignment="1">
      <alignment horizontal="center" wrapText="1"/>
    </xf>
    <xf numFmtId="0" fontId="0" fillId="2" borderId="1" xfId="0" applyFill="1" applyBorder="1"/>
    <xf numFmtId="165" fontId="0" fillId="2" borderId="1" xfId="0" applyNumberFormat="1" applyFill="1" applyBorder="1"/>
    <xf numFmtId="11" fontId="0" fillId="0" borderId="0" xfId="0" applyNumberFormat="1"/>
    <xf numFmtId="0" fontId="0" fillId="2" borderId="0" xfId="0" applyFill="1" applyBorder="1"/>
    <xf numFmtId="0" fontId="2" fillId="0" borderId="0" xfId="1"/>
    <xf numFmtId="0" fontId="1" fillId="0" borderId="0" xfId="1" applyFont="1"/>
    <xf numFmtId="0" fontId="3" fillId="2" borderId="0" xfId="0" applyFont="1" applyFill="1" applyBorder="1"/>
    <xf numFmtId="2" fontId="0" fillId="0" borderId="0" xfId="0" quotePrefix="1" applyNumberFormat="1"/>
    <xf numFmtId="0" fontId="0" fillId="2" borderId="2" xfId="0" applyFill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1" xfId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166" fontId="0" fillId="0" borderId="0" xfId="0" applyNumberFormat="1"/>
    <xf numFmtId="167" fontId="0" fillId="0" borderId="0" xfId="0" applyNumberFormat="1"/>
    <xf numFmtId="0" fontId="2" fillId="0" borderId="0" xfId="1" applyAlignment="1">
      <alignment vertical="center"/>
    </xf>
    <xf numFmtId="0" fontId="8" fillId="0" borderId="0" xfId="0" applyFont="1"/>
    <xf numFmtId="2" fontId="8" fillId="0" borderId="0" xfId="0" applyNumberFormat="1" applyFont="1"/>
    <xf numFmtId="0" fontId="9" fillId="0" borderId="0" xfId="0" applyFont="1"/>
    <xf numFmtId="166" fontId="9" fillId="0" borderId="0" xfId="0" applyNumberFormat="1" applyFont="1"/>
    <xf numFmtId="15" fontId="0" fillId="0" borderId="0" xfId="0" applyNumberFormat="1"/>
    <xf numFmtId="0" fontId="11" fillId="0" borderId="0" xfId="0" applyFont="1" applyAlignment="1">
      <alignment horizontal="left" vertical="center" wrapText="1"/>
    </xf>
    <xf numFmtId="0" fontId="12" fillId="0" borderId="17" xfId="0" applyFont="1" applyBorder="1" applyAlignment="1">
      <alignment vertical="center" wrapText="1"/>
    </xf>
    <xf numFmtId="3" fontId="12" fillId="0" borderId="17" xfId="0" applyNumberFormat="1" applyFont="1" applyBorder="1" applyAlignment="1">
      <alignment vertical="center" wrapText="1"/>
    </xf>
    <xf numFmtId="0" fontId="13" fillId="0" borderId="18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3" fontId="12" fillId="0" borderId="22" xfId="0" applyNumberFormat="1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4" xfId="0" applyFont="1" applyBorder="1" applyAlignment="1">
      <alignment vertical="center" wrapText="1"/>
    </xf>
    <xf numFmtId="0" fontId="12" fillId="0" borderId="25" xfId="0" applyFont="1" applyBorder="1" applyAlignment="1">
      <alignment vertical="center" wrapText="1"/>
    </xf>
    <xf numFmtId="0" fontId="0" fillId="0" borderId="0" xfId="0" applyAlignment="1">
      <alignment wrapText="1"/>
    </xf>
    <xf numFmtId="1" fontId="0" fillId="0" borderId="0" xfId="0" applyNumberFormat="1"/>
    <xf numFmtId="0" fontId="10" fillId="0" borderId="0" xfId="0" applyFont="1"/>
    <xf numFmtId="0" fontId="10" fillId="0" borderId="0" xfId="0" quotePrefix="1" applyFont="1"/>
    <xf numFmtId="1" fontId="0" fillId="0" borderId="0" xfId="0" applyNumberFormat="1" applyAlignment="1">
      <alignment wrapText="1"/>
    </xf>
    <xf numFmtId="0" fontId="14" fillId="3" borderId="27" xfId="0" applyFont="1" applyFill="1" applyBorder="1" applyAlignment="1">
      <alignment horizontal="center" vertical="top" wrapText="1"/>
    </xf>
    <xf numFmtId="0" fontId="14" fillId="3" borderId="29" xfId="0" applyFont="1" applyFill="1" applyBorder="1" applyAlignment="1">
      <alignment horizontal="center" vertical="top" wrapText="1"/>
    </xf>
    <xf numFmtId="0" fontId="14" fillId="3" borderId="31" xfId="0" applyFont="1" applyFill="1" applyBorder="1" applyAlignment="1">
      <alignment horizontal="center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8" xfId="0" applyFont="1" applyFill="1" applyBorder="1" applyAlignment="1">
      <alignment horizontal="left" vertical="top" wrapText="1"/>
    </xf>
    <xf numFmtId="0" fontId="14" fillId="3" borderId="30" xfId="0" applyFont="1" applyFill="1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6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theme" Target="theme/theme1.xml"/><Relationship Id="rId5" Type="http://schemas.openxmlformats.org/officeDocument/2006/relationships/worksheet" Target="worksheets/sheet4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'Air Density Data'!$A$4:$A$11</c:f>
              <c:numCache>
                <c:formatCode>General</c:formatCode>
                <c:ptCount val="8"/>
                <c:pt idx="0">
                  <c:v>0</c:v>
                </c:pt>
                <c:pt idx="1">
                  <c:v>5000</c:v>
                </c:pt>
                <c:pt idx="2">
                  <c:v>10000</c:v>
                </c:pt>
                <c:pt idx="3">
                  <c:v>15000</c:v>
                </c:pt>
                <c:pt idx="4">
                  <c:v>20000</c:v>
                </c:pt>
                <c:pt idx="5">
                  <c:v>25000</c:v>
                </c:pt>
                <c:pt idx="6">
                  <c:v>30000</c:v>
                </c:pt>
                <c:pt idx="7">
                  <c:v>35000</c:v>
                </c:pt>
              </c:numCache>
            </c:numRef>
          </c:xVal>
          <c:yVal>
            <c:numRef>
              <c:f>'Air Density Data'!$G$4:$G$11</c:f>
              <c:numCache>
                <c:formatCode>General</c:formatCode>
                <c:ptCount val="8"/>
                <c:pt idx="0">
                  <c:v>7.6499999999999999E-2</c:v>
                </c:pt>
                <c:pt idx="1">
                  <c:v>6.59E-2</c:v>
                </c:pt>
                <c:pt idx="2">
                  <c:v>5.6500000000000002E-2</c:v>
                </c:pt>
                <c:pt idx="3">
                  <c:v>4.8099999999999997E-2</c:v>
                </c:pt>
                <c:pt idx="4">
                  <c:v>4.0800000000000003E-2</c:v>
                </c:pt>
                <c:pt idx="5">
                  <c:v>3.4299999999999997E-2</c:v>
                </c:pt>
                <c:pt idx="6">
                  <c:v>2.87E-2</c:v>
                </c:pt>
                <c:pt idx="7">
                  <c:v>2.3699999999999999E-2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E5-4151-9721-1C11F261D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084968"/>
        <c:axId val="708089560"/>
      </c:scatterChart>
      <c:valAx>
        <c:axId val="708084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Height Above Sea Level (ft)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089560"/>
        <c:crosses val="autoZero"/>
        <c:crossBetween val="midCat"/>
      </c:valAx>
      <c:valAx>
        <c:axId val="708089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Air Density (lb/cu ft)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084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033255-26C2-47FF-91CD-A4861713CAA8}">
  <sheetPr/>
  <sheetViews>
    <sheetView zoomScale="7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10</xdr:col>
      <xdr:colOff>589790</xdr:colOff>
      <xdr:row>27</xdr:row>
      <xdr:rowOff>189929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E287563-059D-4408-AA07-681605B259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762000"/>
          <a:ext cx="6076190" cy="45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289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EEEAB0-0FF8-49DD-A56F-328CE66FE75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9</xdr:col>
      <xdr:colOff>457200</xdr:colOff>
      <xdr:row>32</xdr:row>
      <xdr:rowOff>114300</xdr:rowOff>
    </xdr:to>
    <xdr:pic>
      <xdr:nvPicPr>
        <xdr:cNvPr id="2" name="Picture 1" descr="Figure 1">
          <a:extLst>
            <a:ext uri="{FF2B5EF4-FFF2-40B4-BE49-F238E27FC236}">
              <a16:creationId xmlns:a16="http://schemas.microsoft.com/office/drawing/2014/main" id="{65ABCCA1-BFA8-4095-9F53-725E1CF19E4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5943600" cy="5829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284828</xdr:colOff>
      <xdr:row>18</xdr:row>
      <xdr:rowOff>132905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C21056-99DA-4E95-A2D5-610DB89C6F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371428" cy="356190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0</xdr:row>
      <xdr:rowOff>0</xdr:rowOff>
    </xdr:from>
    <xdr:to>
      <xdr:col>25</xdr:col>
      <xdr:colOff>170514</xdr:colOff>
      <xdr:row>29</xdr:row>
      <xdr:rowOff>104071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9E395A4-2E0D-4F71-8E96-4D809CAAC3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24800" y="0"/>
          <a:ext cx="7485714" cy="56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ass.usda.gov/Charts_and_Maps/Field_Crops/cornyld.php" TargetMode="External"/><Relationship Id="rId2" Type="http://schemas.openxmlformats.org/officeDocument/2006/relationships/hyperlink" Target="https://www.nass.usda.gov/Charts_and_Maps/Field_Crops/cornyld.php" TargetMode="External"/><Relationship Id="rId1" Type="http://schemas.openxmlformats.org/officeDocument/2006/relationships/hyperlink" Target="https://www.nass.usda.gov/Charts_and_Maps/graphics/cornyld.pdf" TargetMode="Externa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ngineeringtoolbox.com/dynamic-absolute-kinematic-viscosity-d_412.html" TargetMode="External"/><Relationship Id="rId2" Type="http://schemas.openxmlformats.org/officeDocument/2006/relationships/hyperlink" Target="https://www.engineeringtoolbox.com/mass-weight-d_589.html" TargetMode="External"/><Relationship Id="rId1" Type="http://schemas.openxmlformats.org/officeDocument/2006/relationships/hyperlink" Target="https://www.engineeringtoolbox.com/accelaration-gravity-d_340.html" TargetMode="Externa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nature.com/articles/s41598-017-05804-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nass.usda.gov/Statistics_by_Subject/result.php?9FA0A4C7-3679-3609-A9E5-A89AE0915B03&amp;sector=CROPS&amp;group=FIELD%20CROPS&amp;comm=CORN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://utbfc.utk.edu/Content%20Folders/Forages/Hay%20and%20Silage/Publications/sp434d.pdf" TargetMode="External"/><Relationship Id="rId1" Type="http://schemas.openxmlformats.org/officeDocument/2006/relationships/hyperlink" Target="https://www.nass.usda.gov/Statistics_by_Subject/result.php?9FA0A4C7-3679-3609-A9E5-A89AE0915B03&amp;sector=CROPS&amp;group=FIELD%20CROPS&amp;comm=CORN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cropwatch.unl.edu/harvest-soybeans-13-moisture" TargetMode="External"/><Relationship Id="rId1" Type="http://schemas.openxmlformats.org/officeDocument/2006/relationships/hyperlink" Target="https://www.nass.usda.gov/Statistics_by_Subject/result.php?2380F00D-0473-3251-B635-254C48FF780F&amp;sector=CROPS&amp;group=FIELD%20CROPS&amp;comm=SOYBEAN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E4194-194C-47CA-BEF6-275E47F7826B}">
  <sheetPr>
    <pageSetUpPr fitToPage="1"/>
  </sheetPr>
  <dimension ref="A1:U41"/>
  <sheetViews>
    <sheetView topLeftCell="A8" zoomScale="75" zoomScaleNormal="75" workbookViewId="0">
      <selection activeCell="D21" sqref="D21"/>
    </sheetView>
  </sheetViews>
  <sheetFormatPr defaultRowHeight="15" x14ac:dyDescent="0.25"/>
  <cols>
    <col min="1" max="1" width="10.5703125" bestFit="1" customWidth="1"/>
    <col min="2" max="2" width="16" bestFit="1" customWidth="1"/>
    <col min="5" max="5" width="9.140625" style="1"/>
    <col min="9" max="9" width="13.85546875" bestFit="1" customWidth="1"/>
    <col min="12" max="12" width="11.7109375" bestFit="1" customWidth="1"/>
    <col min="17" max="17" width="12.7109375" bestFit="1" customWidth="1"/>
    <col min="18" max="18" width="11.7109375" bestFit="1" customWidth="1"/>
    <col min="19" max="19" width="14.28515625" customWidth="1"/>
    <col min="20" max="20" width="11.7109375" bestFit="1" customWidth="1"/>
    <col min="23" max="23" width="11.7109375" bestFit="1" customWidth="1"/>
  </cols>
  <sheetData>
    <row r="1" spans="1:20" x14ac:dyDescent="0.25">
      <c r="B1" t="s">
        <v>39</v>
      </c>
    </row>
    <row r="2" spans="1:20" x14ac:dyDescent="0.25">
      <c r="A2" t="s">
        <v>33</v>
      </c>
      <c r="B2" t="s">
        <v>34</v>
      </c>
    </row>
    <row r="3" spans="1:20" x14ac:dyDescent="0.25">
      <c r="A3" t="s">
        <v>35</v>
      </c>
      <c r="B3" t="s">
        <v>36</v>
      </c>
    </row>
    <row r="4" spans="1:20" x14ac:dyDescent="0.25">
      <c r="A4" t="s">
        <v>37</v>
      </c>
      <c r="B4" t="s">
        <v>38</v>
      </c>
    </row>
    <row r="6" spans="1:20" x14ac:dyDescent="0.25">
      <c r="B6" t="s">
        <v>7</v>
      </c>
    </row>
    <row r="7" spans="1:20" x14ac:dyDescent="0.25">
      <c r="A7" t="s">
        <v>40</v>
      </c>
      <c r="B7" s="1">
        <v>12.01</v>
      </c>
      <c r="G7" t="s">
        <v>47</v>
      </c>
      <c r="M7" s="3"/>
    </row>
    <row r="8" spans="1:20" x14ac:dyDescent="0.25">
      <c r="A8" t="s">
        <v>41</v>
      </c>
      <c r="B8" s="1">
        <v>1.01</v>
      </c>
      <c r="G8" t="s">
        <v>48</v>
      </c>
      <c r="M8" s="3"/>
    </row>
    <row r="9" spans="1:20" x14ac:dyDescent="0.25">
      <c r="A9" t="s">
        <v>42</v>
      </c>
      <c r="B9" s="1">
        <v>16</v>
      </c>
      <c r="M9" s="3"/>
    </row>
    <row r="10" spans="1:20" ht="30" x14ac:dyDescent="0.25">
      <c r="G10" s="5"/>
      <c r="H10" s="5" t="s">
        <v>10</v>
      </c>
      <c r="I10" s="5" t="s">
        <v>11</v>
      </c>
      <c r="J10" s="5" t="s">
        <v>12</v>
      </c>
      <c r="K10" s="5" t="s">
        <v>13</v>
      </c>
      <c r="L10" s="5" t="s">
        <v>3</v>
      </c>
      <c r="M10" s="6" t="s">
        <v>21</v>
      </c>
      <c r="O10" s="15" t="s">
        <v>67</v>
      </c>
      <c r="Q10">
        <v>4046.86</v>
      </c>
      <c r="R10" t="s">
        <v>68</v>
      </c>
    </row>
    <row r="11" spans="1:20" x14ac:dyDescent="0.25">
      <c r="A11" t="s">
        <v>43</v>
      </c>
      <c r="B11" t="s">
        <v>46</v>
      </c>
      <c r="C11" t="s">
        <v>44</v>
      </c>
      <c r="D11" t="s">
        <v>7</v>
      </c>
      <c r="E11" s="1" t="s">
        <v>45</v>
      </c>
      <c r="G11" s="7">
        <v>1</v>
      </c>
      <c r="H11" s="7">
        <v>209.4</v>
      </c>
      <c r="I11" s="7">
        <v>154.30000000000001</v>
      </c>
      <c r="J11" s="7">
        <v>320</v>
      </c>
      <c r="K11" s="7">
        <v>92.6</v>
      </c>
      <c r="L11" s="7">
        <f>SUM(H11:K11)</f>
        <v>776.30000000000007</v>
      </c>
      <c r="M11" s="8">
        <f>J11/L11*100</f>
        <v>41.22117737987891</v>
      </c>
      <c r="O11" t="s">
        <v>69</v>
      </c>
      <c r="Q11">
        <v>35000</v>
      </c>
      <c r="R11" t="s">
        <v>70</v>
      </c>
    </row>
    <row r="12" spans="1:20" x14ac:dyDescent="0.25">
      <c r="A12" t="s">
        <v>0</v>
      </c>
      <c r="B12" s="1">
        <v>12.01</v>
      </c>
      <c r="C12">
        <v>6</v>
      </c>
      <c r="D12">
        <f>B12*C12</f>
        <v>72.06</v>
      </c>
      <c r="E12" s="1">
        <f>D12/D$15*100</f>
        <v>44.437592501233354</v>
      </c>
      <c r="G12" s="7">
        <v>2</v>
      </c>
      <c r="H12" s="7">
        <v>252.5</v>
      </c>
      <c r="I12" s="7">
        <v>191.2</v>
      </c>
      <c r="J12" s="7">
        <v>272.2</v>
      </c>
      <c r="K12" s="7">
        <v>75.3</v>
      </c>
      <c r="L12" s="7">
        <f t="shared" ref="L12:L15" si="0">SUM(H12:K12)</f>
        <v>791.19999999999993</v>
      </c>
      <c r="M12" s="8">
        <f t="shared" ref="M12:M17" si="1">J12/L12*100</f>
        <v>34.403437815975735</v>
      </c>
      <c r="Q12" s="3">
        <f>Q11/3.2808</f>
        <v>10668.129724457449</v>
      </c>
      <c r="R12" t="s">
        <v>71</v>
      </c>
      <c r="T12" t="s">
        <v>96</v>
      </c>
    </row>
    <row r="13" spans="1:20" x14ac:dyDescent="0.25">
      <c r="A13" t="s">
        <v>1</v>
      </c>
      <c r="B13" s="1">
        <v>1.01</v>
      </c>
      <c r="C13">
        <v>10</v>
      </c>
      <c r="D13">
        <f t="shared" ref="D13:D14" si="2">B13*C13</f>
        <v>10.1</v>
      </c>
      <c r="E13" s="1">
        <f t="shared" ref="E13:E14" si="3">D13/D$15*100</f>
        <v>6.2284163788850515</v>
      </c>
      <c r="G13" s="7">
        <v>3</v>
      </c>
      <c r="H13" s="7">
        <v>195.8</v>
      </c>
      <c r="I13" s="7">
        <v>161</v>
      </c>
      <c r="J13" s="7">
        <v>232</v>
      </c>
      <c r="K13" s="7">
        <v>70.7</v>
      </c>
      <c r="L13" s="7">
        <f t="shared" si="0"/>
        <v>659.5</v>
      </c>
      <c r="M13" s="8">
        <f t="shared" si="1"/>
        <v>35.178165276724791</v>
      </c>
      <c r="O13" t="s">
        <v>72</v>
      </c>
      <c r="Q13" s="2">
        <f>Q10*Q12</f>
        <v>43172427.456717871</v>
      </c>
      <c r="R13" t="s">
        <v>17</v>
      </c>
    </row>
    <row r="14" spans="1:20" x14ac:dyDescent="0.25">
      <c r="A14" t="s">
        <v>2</v>
      </c>
      <c r="B14" s="1">
        <v>16</v>
      </c>
      <c r="C14">
        <v>5</v>
      </c>
      <c r="D14">
        <f t="shared" si="2"/>
        <v>80</v>
      </c>
      <c r="E14" s="1">
        <f t="shared" si="3"/>
        <v>49.333991119881595</v>
      </c>
      <c r="G14" s="7">
        <v>4</v>
      </c>
      <c r="H14" s="7">
        <v>235.5</v>
      </c>
      <c r="I14" s="7">
        <v>233</v>
      </c>
      <c r="J14" s="7">
        <v>212</v>
      </c>
      <c r="K14" s="7">
        <v>65.3</v>
      </c>
      <c r="L14" s="7">
        <f t="shared" si="0"/>
        <v>745.8</v>
      </c>
      <c r="M14" s="8">
        <f t="shared" si="1"/>
        <v>28.425851434700995</v>
      </c>
    </row>
    <row r="15" spans="1:20" x14ac:dyDescent="0.25">
      <c r="A15" t="s">
        <v>3</v>
      </c>
      <c r="D15">
        <f>SUM(D12:D14)</f>
        <v>162.16</v>
      </c>
      <c r="E15" s="1">
        <f>SUM(E12:E14)</f>
        <v>100</v>
      </c>
      <c r="G15" s="7">
        <v>5</v>
      </c>
      <c r="H15" s="7">
        <v>279.7</v>
      </c>
      <c r="I15" s="7">
        <v>203.5</v>
      </c>
      <c r="J15" s="7">
        <v>268.8</v>
      </c>
      <c r="K15" s="7">
        <v>87.3</v>
      </c>
      <c r="L15" s="7">
        <f t="shared" si="0"/>
        <v>839.3</v>
      </c>
      <c r="M15" s="8">
        <f t="shared" si="1"/>
        <v>32.026688907422859</v>
      </c>
      <c r="O15" t="s">
        <v>18</v>
      </c>
      <c r="T15" s="34">
        <f>'Air Density Data'!G17</f>
        <v>0.54231976368416401</v>
      </c>
    </row>
    <row r="16" spans="1:20" x14ac:dyDescent="0.25">
      <c r="G16" s="7" t="s">
        <v>3</v>
      </c>
      <c r="H16" s="7">
        <f>SUM(H11:H15)</f>
        <v>1172.9000000000001</v>
      </c>
      <c r="I16" s="7">
        <f t="shared" ref="I16:L16" si="4">SUM(I11:I15)</f>
        <v>943</v>
      </c>
      <c r="J16" s="7">
        <f t="shared" si="4"/>
        <v>1305</v>
      </c>
      <c r="K16" s="7">
        <f t="shared" si="4"/>
        <v>391.2</v>
      </c>
      <c r="L16" s="7">
        <f t="shared" si="4"/>
        <v>3812.1000000000004</v>
      </c>
      <c r="M16" s="8">
        <f t="shared" si="1"/>
        <v>34.233099866215468</v>
      </c>
      <c r="O16" t="s">
        <v>95</v>
      </c>
    </row>
    <row r="17" spans="1:21" x14ac:dyDescent="0.25">
      <c r="A17" t="s">
        <v>110</v>
      </c>
      <c r="G17" s="7" t="s">
        <v>14</v>
      </c>
      <c r="H17" s="8">
        <f>AVERAGE(H11:H15)</f>
        <v>234.58</v>
      </c>
      <c r="I17" s="8">
        <f t="shared" ref="I17:L17" si="5">AVERAGE(I11:I15)</f>
        <v>188.6</v>
      </c>
      <c r="J17" s="8">
        <f t="shared" si="5"/>
        <v>261</v>
      </c>
      <c r="K17" s="8">
        <f t="shared" si="5"/>
        <v>78.239999999999995</v>
      </c>
      <c r="L17" s="8">
        <f t="shared" si="5"/>
        <v>762.42000000000007</v>
      </c>
      <c r="M17" s="8">
        <f t="shared" si="1"/>
        <v>34.233099866215468</v>
      </c>
    </row>
    <row r="18" spans="1:21" x14ac:dyDescent="0.25">
      <c r="A18" t="s">
        <v>111</v>
      </c>
      <c r="G18" s="7" t="s">
        <v>15</v>
      </c>
      <c r="H18" s="8">
        <f>STDEV(H11:H15)</f>
        <v>33.52502050707772</v>
      </c>
      <c r="I18" s="8">
        <f t="shared" ref="I18:L18" si="6">STDEV(I11:I15)</f>
        <v>32.165120860957465</v>
      </c>
      <c r="J18" s="8">
        <f t="shared" si="6"/>
        <v>41.561039448021418</v>
      </c>
      <c r="K18" s="8">
        <f t="shared" si="6"/>
        <v>11.415252953833305</v>
      </c>
      <c r="L18" s="8">
        <f t="shared" si="6"/>
        <v>66.708747552326287</v>
      </c>
      <c r="M18" s="8"/>
      <c r="O18" t="s">
        <v>99</v>
      </c>
      <c r="T18" s="2">
        <f>I40</f>
        <v>36655265.899222344</v>
      </c>
      <c r="U18" t="s">
        <v>98</v>
      </c>
    </row>
    <row r="20" spans="1:21" ht="15.75" x14ac:dyDescent="0.25">
      <c r="A20" t="s">
        <v>8</v>
      </c>
      <c r="B20" t="s">
        <v>7</v>
      </c>
      <c r="C20" t="s">
        <v>44</v>
      </c>
      <c r="D20" t="s">
        <v>3</v>
      </c>
      <c r="G20" s="10" t="s">
        <v>49</v>
      </c>
      <c r="I20">
        <v>56</v>
      </c>
      <c r="J20" t="s">
        <v>50</v>
      </c>
      <c r="O20" s="39" t="s">
        <v>100</v>
      </c>
      <c r="P20" s="39"/>
      <c r="Q20" s="39"/>
      <c r="R20" s="39"/>
      <c r="S20" s="39"/>
      <c r="T20" s="40">
        <f>T18/Q13</f>
        <v>0.84904343023034212</v>
      </c>
    </row>
    <row r="21" spans="1:21" ht="15.75" x14ac:dyDescent="0.25">
      <c r="A21" t="s">
        <v>4</v>
      </c>
      <c r="B21">
        <f>B12+2*B14</f>
        <v>44.01</v>
      </c>
      <c r="C21">
        <v>6</v>
      </c>
      <c r="D21">
        <f>B21*C21</f>
        <v>264.06</v>
      </c>
      <c r="G21" s="10" t="s">
        <v>51</v>
      </c>
      <c r="I21">
        <v>15.5</v>
      </c>
      <c r="J21" t="s">
        <v>52</v>
      </c>
      <c r="O21" s="39" t="s">
        <v>101</v>
      </c>
      <c r="P21" s="39"/>
      <c r="Q21" s="39"/>
      <c r="R21" s="39"/>
      <c r="S21" s="39"/>
      <c r="T21" s="39"/>
    </row>
    <row r="22" spans="1:21" x14ac:dyDescent="0.25">
      <c r="A22" t="s">
        <v>6</v>
      </c>
      <c r="B22">
        <f>2*B8+B9</f>
        <v>18.02</v>
      </c>
      <c r="C22">
        <v>6</v>
      </c>
      <c r="D22">
        <f>B22*C22</f>
        <v>108.12</v>
      </c>
    </row>
    <row r="23" spans="1:21" x14ac:dyDescent="0.25">
      <c r="A23" t="s">
        <v>3</v>
      </c>
      <c r="D23">
        <f>SUM(D21:D22)</f>
        <v>372.18</v>
      </c>
      <c r="G23" s="13" t="s">
        <v>53</v>
      </c>
      <c r="O23" t="s">
        <v>31</v>
      </c>
      <c r="Q23">
        <v>640</v>
      </c>
      <c r="R23" t="s">
        <v>32</v>
      </c>
      <c r="S23" s="1"/>
    </row>
    <row r="24" spans="1:21" x14ac:dyDescent="0.25">
      <c r="G24" s="10" t="s">
        <v>54</v>
      </c>
      <c r="I24">
        <v>170</v>
      </c>
      <c r="S24" s="1"/>
    </row>
    <row r="25" spans="1:21" x14ac:dyDescent="0.25">
      <c r="A25" t="s">
        <v>9</v>
      </c>
      <c r="B25" t="s">
        <v>7</v>
      </c>
      <c r="C25" t="s">
        <v>44</v>
      </c>
      <c r="D25" t="s">
        <v>3</v>
      </c>
      <c r="G25" s="10" t="s">
        <v>55</v>
      </c>
      <c r="I25">
        <f>I24*I20</f>
        <v>9520</v>
      </c>
      <c r="J25" t="s">
        <v>58</v>
      </c>
      <c r="S25" s="1" t="s">
        <v>102</v>
      </c>
    </row>
    <row r="26" spans="1:21" x14ac:dyDescent="0.25">
      <c r="A26" t="s">
        <v>34</v>
      </c>
      <c r="B26">
        <v>180.16</v>
      </c>
      <c r="C26">
        <v>1</v>
      </c>
      <c r="D26">
        <f>B26*C26</f>
        <v>180.16</v>
      </c>
      <c r="G26" s="10" t="s">
        <v>56</v>
      </c>
      <c r="I26">
        <f>I25*(1-I21/100)</f>
        <v>8044.4</v>
      </c>
      <c r="J26" t="s">
        <v>58</v>
      </c>
      <c r="O26" t="s">
        <v>22</v>
      </c>
      <c r="Q26" s="9">
        <v>510000000</v>
      </c>
      <c r="R26" t="s">
        <v>23</v>
      </c>
      <c r="S26" s="1">
        <f>Q26/Q26*100</f>
        <v>100</v>
      </c>
    </row>
    <row r="27" spans="1:21" x14ac:dyDescent="0.25">
      <c r="A27" t="s">
        <v>5</v>
      </c>
      <c r="B27">
        <f>B9*2</f>
        <v>32</v>
      </c>
      <c r="C27">
        <v>6</v>
      </c>
      <c r="D27">
        <f>B27*C27</f>
        <v>192</v>
      </c>
      <c r="G27" s="10" t="s">
        <v>57</v>
      </c>
      <c r="I27" s="1">
        <f>I26/(M17/100)</f>
        <v>23498.894436781611</v>
      </c>
      <c r="J27" t="s">
        <v>58</v>
      </c>
      <c r="Q27" s="9">
        <v>196900000</v>
      </c>
      <c r="R27" t="s">
        <v>24</v>
      </c>
      <c r="S27" s="1"/>
    </row>
    <row r="28" spans="1:21" x14ac:dyDescent="0.25">
      <c r="A28" t="s">
        <v>3</v>
      </c>
      <c r="D28">
        <f>SUM(D26:D27)</f>
        <v>372.15999999999997</v>
      </c>
      <c r="G28" s="10" t="s">
        <v>57</v>
      </c>
      <c r="I28" s="2">
        <f>I27*453.59</f>
        <v>10658863.527579769</v>
      </c>
      <c r="J28" t="s">
        <v>62</v>
      </c>
      <c r="L28" s="1">
        <f>I28/1000000</f>
        <v>10.65886352757977</v>
      </c>
      <c r="M28" t="s">
        <v>114</v>
      </c>
      <c r="Q28" s="9">
        <f>Q27*Q23</f>
        <v>126016000000</v>
      </c>
      <c r="R28" t="s">
        <v>32</v>
      </c>
      <c r="S28" s="1"/>
    </row>
    <row r="29" spans="1:21" x14ac:dyDescent="0.25">
      <c r="G29" s="10" t="s">
        <v>63</v>
      </c>
      <c r="O29" t="s">
        <v>103</v>
      </c>
      <c r="Q29" s="9">
        <f>Q28*Q13</f>
        <v>5.4404166183857592E+18</v>
      </c>
      <c r="R29" t="s">
        <v>17</v>
      </c>
    </row>
    <row r="30" spans="1:21" x14ac:dyDescent="0.25">
      <c r="I30" s="2">
        <f>I28*D21/D26</f>
        <v>15622665.980754407</v>
      </c>
      <c r="J30" t="s">
        <v>64</v>
      </c>
      <c r="L30" s="1">
        <f>I30/1000000</f>
        <v>15.622665980754407</v>
      </c>
      <c r="M30" t="s">
        <v>114</v>
      </c>
    </row>
    <row r="32" spans="1:21" x14ac:dyDescent="0.25">
      <c r="O32" t="s">
        <v>25</v>
      </c>
      <c r="Q32" s="9">
        <v>149000000</v>
      </c>
      <c r="R32" t="s">
        <v>23</v>
      </c>
      <c r="S32" s="1">
        <f>Q32/Q26*100</f>
        <v>29.215686274509807</v>
      </c>
    </row>
    <row r="33" spans="7:19" x14ac:dyDescent="0.25">
      <c r="G33" s="10" t="s">
        <v>59</v>
      </c>
      <c r="I33">
        <v>400</v>
      </c>
      <c r="J33" t="s">
        <v>66</v>
      </c>
      <c r="Q33" s="9">
        <v>57500000</v>
      </c>
      <c r="R33" t="s">
        <v>24</v>
      </c>
      <c r="S33" s="1"/>
    </row>
    <row r="34" spans="7:19" x14ac:dyDescent="0.25">
      <c r="G34" t="s">
        <v>16</v>
      </c>
    </row>
    <row r="35" spans="7:19" x14ac:dyDescent="0.25">
      <c r="I35" s="14">
        <f>22.4/0.0004/44.01</f>
        <v>1272.4380822540331</v>
      </c>
      <c r="J35" t="s">
        <v>60</v>
      </c>
    </row>
    <row r="36" spans="7:19" x14ac:dyDescent="0.25">
      <c r="I36" s="4">
        <f>1/I35</f>
        <v>7.8589285714285718E-4</v>
      </c>
      <c r="J36" t="s">
        <v>61</v>
      </c>
      <c r="O36" t="s">
        <v>27</v>
      </c>
    </row>
    <row r="37" spans="7:19" x14ac:dyDescent="0.25">
      <c r="O37" t="s">
        <v>28</v>
      </c>
      <c r="R37">
        <v>91.7</v>
      </c>
      <c r="S37" t="s">
        <v>30</v>
      </c>
    </row>
    <row r="38" spans="7:19" x14ac:dyDescent="0.25">
      <c r="G38" t="s">
        <v>65</v>
      </c>
      <c r="I38" s="2">
        <f>I30*I35</f>
        <v>19878875140.24646</v>
      </c>
      <c r="J38" t="s">
        <v>19</v>
      </c>
      <c r="O38" t="s">
        <v>29</v>
      </c>
      <c r="R38">
        <v>80</v>
      </c>
      <c r="S38" t="s">
        <v>30</v>
      </c>
    </row>
    <row r="39" spans="7:19" x14ac:dyDescent="0.25">
      <c r="G39" t="s">
        <v>97</v>
      </c>
      <c r="I39" s="2">
        <f>I38/1000</f>
        <v>19878875.140246458</v>
      </c>
      <c r="J39" t="s">
        <v>20</v>
      </c>
    </row>
    <row r="40" spans="7:19" x14ac:dyDescent="0.25">
      <c r="G40" t="s">
        <v>97</v>
      </c>
      <c r="I40" s="2">
        <f>I39/T15</f>
        <v>36655265.899222344</v>
      </c>
      <c r="J40" t="s">
        <v>98</v>
      </c>
      <c r="O40" t="s">
        <v>104</v>
      </c>
      <c r="R40" s="2">
        <f>R37*1000000*I40</f>
        <v>3361287882958689</v>
      </c>
      <c r="S40" t="s">
        <v>17</v>
      </c>
    </row>
    <row r="41" spans="7:19" x14ac:dyDescent="0.25">
      <c r="O41" t="s">
        <v>105</v>
      </c>
      <c r="R41" s="35">
        <f>R40/Q29*100</f>
        <v>6.1783648546313463E-2</v>
      </c>
      <c r="S41" t="s">
        <v>26</v>
      </c>
    </row>
  </sheetData>
  <printOptions gridLines="1"/>
  <pageMargins left="0.7" right="0.7" top="0.75" bottom="0.75" header="0.3" footer="0.3"/>
  <pageSetup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5C093-062A-4F45-A5EF-058AE6AC0AF0}">
  <dimension ref="A1:I30"/>
  <sheetViews>
    <sheetView workbookViewId="0">
      <selection activeCell="I3" sqref="I3"/>
    </sheetView>
  </sheetViews>
  <sheetFormatPr defaultRowHeight="15" x14ac:dyDescent="0.25"/>
  <sheetData>
    <row r="1" spans="1:9" x14ac:dyDescent="0.25">
      <c r="A1" s="11" t="s">
        <v>108</v>
      </c>
    </row>
    <row r="2" spans="1:9" x14ac:dyDescent="0.25">
      <c r="A2" s="11" t="s">
        <v>113</v>
      </c>
      <c r="I2" s="41">
        <v>43957</v>
      </c>
    </row>
    <row r="3" spans="1:9" x14ac:dyDescent="0.25">
      <c r="A3" s="11" t="s">
        <v>109</v>
      </c>
    </row>
    <row r="4" spans="1:9" x14ac:dyDescent="0.25">
      <c r="A4" s="12"/>
    </row>
    <row r="30" spans="1:2" x14ac:dyDescent="0.25">
      <c r="A30" t="s">
        <v>112</v>
      </c>
      <c r="B30" s="11" t="s">
        <v>113</v>
      </c>
    </row>
  </sheetData>
  <hyperlinks>
    <hyperlink ref="A1" r:id="rId1" xr:uid="{32912D7E-03E8-4CC9-8237-A1454D837E7A}"/>
    <hyperlink ref="B30" r:id="rId2" xr:uid="{3322E6DA-6878-40DA-AC90-C6F4E2463254}"/>
    <hyperlink ref="A2" r:id="rId3" xr:uid="{F545099D-A05C-445D-A408-52099A2A2042}"/>
  </hyperlinks>
  <pageMargins left="0.7" right="0.7" top="0.75" bottom="0.75" header="0.3" footer="0.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6CD18-56EA-494C-97B1-2EF1AD942F50}">
  <dimension ref="A1:H1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8" sqref="G18"/>
    </sheetView>
  </sheetViews>
  <sheetFormatPr defaultRowHeight="15" x14ac:dyDescent="0.25"/>
  <cols>
    <col min="1" max="1" width="14.140625" customWidth="1"/>
    <col min="2" max="2" width="13" customWidth="1"/>
    <col min="3" max="3" width="13.42578125" customWidth="1"/>
    <col min="5" max="5" width="15.85546875" customWidth="1"/>
    <col min="6" max="6" width="14.42578125" customWidth="1"/>
  </cols>
  <sheetData>
    <row r="1" spans="1:8" ht="36.75" thickTop="1" x14ac:dyDescent="0.25">
      <c r="A1" s="16" t="s">
        <v>73</v>
      </c>
      <c r="B1" s="17" t="s">
        <v>74</v>
      </c>
      <c r="C1" s="18" t="s">
        <v>75</v>
      </c>
      <c r="D1" s="17" t="s">
        <v>76</v>
      </c>
      <c r="E1" s="17" t="s">
        <v>77</v>
      </c>
      <c r="F1" s="19" t="s">
        <v>78</v>
      </c>
      <c r="G1" s="20" t="s">
        <v>77</v>
      </c>
      <c r="H1" s="20" t="s">
        <v>79</v>
      </c>
    </row>
    <row r="2" spans="1:8" x14ac:dyDescent="0.25">
      <c r="A2" s="21" t="s">
        <v>80</v>
      </c>
      <c r="B2" s="22" t="s">
        <v>81</v>
      </c>
      <c r="C2" s="22" t="s">
        <v>82</v>
      </c>
      <c r="D2" s="22" t="s">
        <v>83</v>
      </c>
      <c r="E2" s="22" t="s">
        <v>84</v>
      </c>
      <c r="F2" s="23" t="s">
        <v>85</v>
      </c>
      <c r="G2" s="24" t="s">
        <v>86</v>
      </c>
    </row>
    <row r="3" spans="1:8" ht="15.75" thickBot="1" x14ac:dyDescent="0.3">
      <c r="A3" s="25" t="s">
        <v>87</v>
      </c>
      <c r="B3" s="26" t="s">
        <v>88</v>
      </c>
      <c r="C3" s="26" t="s">
        <v>89</v>
      </c>
      <c r="D3" s="26" t="s">
        <v>90</v>
      </c>
      <c r="E3" s="27" t="s">
        <v>91</v>
      </c>
      <c r="F3" s="28" t="s">
        <v>92</v>
      </c>
    </row>
    <row r="4" spans="1:8" ht="15.75" thickBot="1" x14ac:dyDescent="0.3">
      <c r="A4" s="29">
        <v>0</v>
      </c>
      <c r="B4" s="30">
        <v>59</v>
      </c>
      <c r="C4" s="30">
        <v>32.173999999999999</v>
      </c>
      <c r="D4" s="30">
        <v>14.696</v>
      </c>
      <c r="E4" s="31">
        <v>23.77</v>
      </c>
      <c r="F4" s="32">
        <v>3.7370000000000001</v>
      </c>
      <c r="G4">
        <v>7.6499999999999999E-2</v>
      </c>
      <c r="H4">
        <f>G4/G$4</f>
        <v>1</v>
      </c>
    </row>
    <row r="5" spans="1:8" ht="15.75" thickBot="1" x14ac:dyDescent="0.3">
      <c r="A5" s="29">
        <v>5000</v>
      </c>
      <c r="B5" s="30">
        <v>41.17</v>
      </c>
      <c r="C5" s="30">
        <v>32.158999999999999</v>
      </c>
      <c r="D5" s="30">
        <v>12.228</v>
      </c>
      <c r="E5" s="31">
        <v>20.48</v>
      </c>
      <c r="F5" s="32">
        <v>3.637</v>
      </c>
      <c r="G5" s="33">
        <v>6.59E-2</v>
      </c>
      <c r="H5">
        <f t="shared" ref="H5:H11" si="0">G5/G$4</f>
        <v>0.86143790849673207</v>
      </c>
    </row>
    <row r="6" spans="1:8" ht="15.75" thickBot="1" x14ac:dyDescent="0.3">
      <c r="A6" s="29">
        <v>10000</v>
      </c>
      <c r="B6" s="30">
        <v>23.36</v>
      </c>
      <c r="C6" s="30">
        <v>32.143000000000001</v>
      </c>
      <c r="D6" s="30">
        <v>10.108000000000001</v>
      </c>
      <c r="E6" s="31">
        <v>17.559999999999999</v>
      </c>
      <c r="F6" s="32">
        <v>3.5339999999999998</v>
      </c>
      <c r="G6" s="33">
        <v>5.6500000000000002E-2</v>
      </c>
      <c r="H6">
        <f t="shared" si="0"/>
        <v>0.73856209150326801</v>
      </c>
    </row>
    <row r="7" spans="1:8" ht="15.75" thickBot="1" x14ac:dyDescent="0.3">
      <c r="A7" s="29">
        <v>15000</v>
      </c>
      <c r="B7" s="30">
        <v>5.55</v>
      </c>
      <c r="C7" s="30">
        <v>32.128</v>
      </c>
      <c r="D7" s="30">
        <v>8.2970000000000006</v>
      </c>
      <c r="E7" s="31">
        <v>14.96</v>
      </c>
      <c r="F7" s="32">
        <v>3.43</v>
      </c>
      <c r="G7" s="33">
        <v>4.8099999999999997E-2</v>
      </c>
      <c r="H7">
        <f t="shared" si="0"/>
        <v>0.62875816993464051</v>
      </c>
    </row>
    <row r="8" spans="1:8" ht="15.75" thickBot="1" x14ac:dyDescent="0.3">
      <c r="A8" s="29">
        <v>20000</v>
      </c>
      <c r="B8" s="30">
        <v>-12.26</v>
      </c>
      <c r="C8" s="30">
        <v>32.112000000000002</v>
      </c>
      <c r="D8" s="30">
        <v>6.7590000000000003</v>
      </c>
      <c r="E8" s="31">
        <v>12.67</v>
      </c>
      <c r="F8" s="32">
        <v>3.3239999999999998</v>
      </c>
      <c r="G8" s="33">
        <v>4.0800000000000003E-2</v>
      </c>
      <c r="H8">
        <f t="shared" si="0"/>
        <v>0.53333333333333344</v>
      </c>
    </row>
    <row r="9" spans="1:8" ht="15.75" thickBot="1" x14ac:dyDescent="0.3">
      <c r="A9" s="29">
        <v>25000</v>
      </c>
      <c r="B9" s="30">
        <v>-30.05</v>
      </c>
      <c r="C9" s="30">
        <v>32.097000000000001</v>
      </c>
      <c r="D9" s="30">
        <v>5.4610000000000003</v>
      </c>
      <c r="E9" s="31">
        <v>10.66</v>
      </c>
      <c r="F9" s="32">
        <v>3.2170000000000001</v>
      </c>
      <c r="G9" s="33">
        <v>3.4299999999999997E-2</v>
      </c>
      <c r="H9">
        <f t="shared" si="0"/>
        <v>0.44836601307189539</v>
      </c>
    </row>
    <row r="10" spans="1:8" ht="15.75" thickBot="1" x14ac:dyDescent="0.3">
      <c r="A10" s="29">
        <v>30000</v>
      </c>
      <c r="B10" s="30">
        <v>-47.83</v>
      </c>
      <c r="C10" s="30">
        <v>32.082000000000001</v>
      </c>
      <c r="D10" s="30">
        <v>4.3730000000000002</v>
      </c>
      <c r="E10" s="31">
        <v>8.91</v>
      </c>
      <c r="F10" s="32">
        <v>3.1070000000000002</v>
      </c>
      <c r="G10" s="33">
        <v>2.87E-2</v>
      </c>
      <c r="H10">
        <f t="shared" si="0"/>
        <v>0.37516339869281046</v>
      </c>
    </row>
    <row r="11" spans="1:8" x14ac:dyDescent="0.25">
      <c r="A11" s="29">
        <v>35000</v>
      </c>
      <c r="B11" s="30">
        <v>-65.61</v>
      </c>
      <c r="C11" s="30">
        <v>32.066000000000003</v>
      </c>
      <c r="D11" s="30">
        <v>3.468</v>
      </c>
      <c r="E11" s="31">
        <v>7.38</v>
      </c>
      <c r="F11" s="32">
        <v>2.9950000000000001</v>
      </c>
      <c r="G11" s="33">
        <v>2.3699999999999999E-2</v>
      </c>
      <c r="H11">
        <f t="shared" si="0"/>
        <v>0.30980392156862746</v>
      </c>
    </row>
    <row r="13" spans="1:8" x14ac:dyDescent="0.25">
      <c r="A13" t="s">
        <v>93</v>
      </c>
      <c r="G13">
        <f>AVERAGE(G4:G11)</f>
        <v>4.68125E-2</v>
      </c>
    </row>
    <row r="15" spans="1:8" x14ac:dyDescent="0.25">
      <c r="A15" s="4" t="s">
        <v>94</v>
      </c>
      <c r="G15">
        <f>G13/G4</f>
        <v>0.61192810457516345</v>
      </c>
    </row>
    <row r="17" spans="1:7" x14ac:dyDescent="0.25">
      <c r="A17" s="4" t="s">
        <v>94</v>
      </c>
      <c r="G17">
        <f>G15*459.67/(459.67+B4)</f>
        <v>0.54231976368416401</v>
      </c>
    </row>
  </sheetData>
  <hyperlinks>
    <hyperlink ref="C1" r:id="rId1" tooltip="Acceleration of gravity" display="https://www.engineeringtoolbox.com/accelaration-gravity-d_340.html" xr:uid="{49FD1BE0-174B-44EB-9CB2-A496550D4A37}"/>
    <hyperlink ref="E3" r:id="rId2" tooltip="Slugs - mass and weight" display="https://www.engineeringtoolbox.com/mass-weight-d_589.html" xr:uid="{9216BC82-3C20-41D1-B286-FB968AD4BBA9}"/>
    <hyperlink ref="F1" r:id="rId3" tooltip="Dynamic viscosity" display="https://www.engineeringtoolbox.com/dynamic-absolute-kinematic-viscosity-d_412.html" xr:uid="{5A098A2F-7401-43C6-84EF-E6005DC58923}"/>
  </hyperlinks>
  <pageMargins left="0.7" right="0.7" top="0.75" bottom="0.75" header="0.3" footer="0.3"/>
  <pageSetup orientation="portrait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F58A8-5C5C-4445-9172-A0EA0E2DE33F}">
  <dimension ref="A1"/>
  <sheetViews>
    <sheetView topLeftCell="A12" workbookViewId="0"/>
  </sheetViews>
  <sheetFormatPr defaultRowHeight="15" x14ac:dyDescent="0.25"/>
  <sheetData>
    <row r="1" spans="1:1" x14ac:dyDescent="0.25">
      <c r="A1" s="36" t="s">
        <v>106</v>
      </c>
    </row>
  </sheetData>
  <hyperlinks>
    <hyperlink ref="A1" r:id="rId1" xr:uid="{91DAEAC4-C36E-42EF-BD45-B4D65358D573}"/>
  </hyperlink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48740-5BF6-405A-BB21-469018C9DCD6}">
  <dimension ref="A22:G22"/>
  <sheetViews>
    <sheetView zoomScale="75" zoomScaleNormal="75" workbookViewId="0">
      <selection activeCell="A22" sqref="A22:G22"/>
    </sheetView>
  </sheetViews>
  <sheetFormatPr defaultRowHeight="15" x14ac:dyDescent="0.25"/>
  <cols>
    <col min="5" max="5" width="14.85546875" customWidth="1"/>
  </cols>
  <sheetData>
    <row r="22" spans="1:7" x14ac:dyDescent="0.25">
      <c r="A22" s="37" t="s">
        <v>107</v>
      </c>
      <c r="B22" s="37"/>
      <c r="C22" s="37"/>
      <c r="D22" s="37"/>
      <c r="E22" s="37"/>
      <c r="F22" s="38">
        <f>12/400*100</f>
        <v>3</v>
      </c>
      <c r="G22" s="37" t="s">
        <v>26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A1C44-71F1-4324-A0E9-C216350C7868}">
  <dimension ref="A1:O16"/>
  <sheetViews>
    <sheetView topLeftCell="A12" workbookViewId="0">
      <selection activeCell="A8" sqref="A8:G16"/>
    </sheetView>
  </sheetViews>
  <sheetFormatPr defaultRowHeight="15" x14ac:dyDescent="0.25"/>
  <cols>
    <col min="1" max="1" width="27.5703125" customWidth="1"/>
  </cols>
  <sheetData>
    <row r="1" spans="1:15" x14ac:dyDescent="0.25">
      <c r="A1" s="11" t="s">
        <v>125</v>
      </c>
      <c r="O1" s="41">
        <v>43956</v>
      </c>
    </row>
    <row r="7" spans="1:15" ht="57" x14ac:dyDescent="0.25">
      <c r="A7" s="42" t="s">
        <v>115</v>
      </c>
    </row>
    <row r="8" spans="1:15" x14ac:dyDescent="0.25">
      <c r="A8" s="45" t="s">
        <v>116</v>
      </c>
      <c r="B8" s="46">
        <v>2020</v>
      </c>
      <c r="C8" s="46">
        <v>2019</v>
      </c>
      <c r="D8" s="46">
        <v>2018</v>
      </c>
      <c r="E8" s="46">
        <v>2017</v>
      </c>
      <c r="F8" s="46">
        <v>2016</v>
      </c>
      <c r="G8" s="47">
        <v>2015</v>
      </c>
    </row>
    <row r="9" spans="1:15" ht="27" x14ac:dyDescent="0.25">
      <c r="A9" s="48" t="s">
        <v>117</v>
      </c>
      <c r="B9" s="44">
        <v>96990000</v>
      </c>
      <c r="C9" s="44">
        <v>89700000</v>
      </c>
      <c r="D9" s="44">
        <v>88871000</v>
      </c>
      <c r="E9" s="44">
        <v>90167000</v>
      </c>
      <c r="F9" s="44">
        <v>94004000</v>
      </c>
      <c r="G9" s="49">
        <v>88019000</v>
      </c>
    </row>
    <row r="10" spans="1:15" ht="54" x14ac:dyDescent="0.25">
      <c r="A10" s="48" t="s">
        <v>118</v>
      </c>
      <c r="B10" s="43"/>
      <c r="C10" s="44">
        <v>5331353000</v>
      </c>
      <c r="D10" s="44">
        <v>5553172000</v>
      </c>
      <c r="E10" s="44">
        <v>5493881000</v>
      </c>
      <c r="F10" s="44">
        <v>5289181000</v>
      </c>
      <c r="G10" s="49">
        <v>5219402000</v>
      </c>
    </row>
    <row r="11" spans="1:15" ht="45" x14ac:dyDescent="0.25">
      <c r="A11" s="48" t="s">
        <v>119</v>
      </c>
      <c r="B11" s="43"/>
      <c r="C11" s="44">
        <v>81482000</v>
      </c>
      <c r="D11" s="44">
        <v>81276000</v>
      </c>
      <c r="E11" s="44">
        <v>82733000</v>
      </c>
      <c r="F11" s="44">
        <v>86748000</v>
      </c>
      <c r="G11" s="49">
        <v>80753000</v>
      </c>
    </row>
    <row r="12" spans="1:15" ht="54" x14ac:dyDescent="0.25">
      <c r="A12" s="48" t="s">
        <v>120</v>
      </c>
      <c r="B12" s="43"/>
      <c r="C12" s="44">
        <v>13691561000</v>
      </c>
      <c r="D12" s="44">
        <v>14340369000</v>
      </c>
      <c r="E12" s="44">
        <v>14609407000</v>
      </c>
      <c r="F12" s="44">
        <v>15148038000</v>
      </c>
      <c r="G12" s="49">
        <v>13601964000</v>
      </c>
    </row>
    <row r="13" spans="1:15" ht="54" x14ac:dyDescent="0.25">
      <c r="A13" s="48" t="s">
        <v>121</v>
      </c>
      <c r="B13" s="43"/>
      <c r="C13" s="43">
        <v>168</v>
      </c>
      <c r="D13" s="43">
        <v>176.4</v>
      </c>
      <c r="E13" s="43">
        <v>176.6</v>
      </c>
      <c r="F13" s="43">
        <v>174.6</v>
      </c>
      <c r="G13" s="50">
        <v>168.4</v>
      </c>
    </row>
    <row r="14" spans="1:15" ht="45" x14ac:dyDescent="0.25">
      <c r="A14" s="48" t="s">
        <v>122</v>
      </c>
      <c r="B14" s="43"/>
      <c r="C14" s="44">
        <v>6587000</v>
      </c>
      <c r="D14" s="44">
        <v>6120000</v>
      </c>
      <c r="E14" s="44">
        <v>6385000</v>
      </c>
      <c r="F14" s="44">
        <v>6206000</v>
      </c>
      <c r="G14" s="49">
        <v>6237000</v>
      </c>
    </row>
    <row r="15" spans="1:15" ht="54" x14ac:dyDescent="0.25">
      <c r="A15" s="48" t="s">
        <v>123</v>
      </c>
      <c r="B15" s="43"/>
      <c r="C15" s="44">
        <v>132807000</v>
      </c>
      <c r="D15" s="44">
        <v>121564000</v>
      </c>
      <c r="E15" s="44">
        <v>127434000</v>
      </c>
      <c r="F15" s="44">
        <v>126020000</v>
      </c>
      <c r="G15" s="49">
        <v>127311000</v>
      </c>
    </row>
    <row r="16" spans="1:15" ht="54" x14ac:dyDescent="0.25">
      <c r="A16" s="51" t="s">
        <v>124</v>
      </c>
      <c r="B16" s="52"/>
      <c r="C16" s="52">
        <v>20.2</v>
      </c>
      <c r="D16" s="52">
        <v>19.899999999999999</v>
      </c>
      <c r="E16" s="52">
        <v>20</v>
      </c>
      <c r="F16" s="52">
        <v>20.3</v>
      </c>
      <c r="G16" s="53">
        <v>20.399999999999999</v>
      </c>
    </row>
  </sheetData>
  <hyperlinks>
    <hyperlink ref="A1" r:id="rId1" xr:uid="{81E23159-63C2-4290-B3F7-1C5FE8FB09C7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C5789-5E3D-4F73-A4B4-0A11BA50208C}">
  <dimension ref="A1:M22"/>
  <sheetViews>
    <sheetView topLeftCell="A7" workbookViewId="0">
      <selection activeCell="K17" sqref="K17"/>
    </sheetView>
  </sheetViews>
  <sheetFormatPr defaultRowHeight="15" x14ac:dyDescent="0.25"/>
  <cols>
    <col min="1" max="1" width="10.42578125" bestFit="1" customWidth="1"/>
    <col min="3" max="3" width="17" customWidth="1"/>
    <col min="4" max="4" width="11.85546875" customWidth="1"/>
    <col min="5" max="5" width="15.85546875" customWidth="1"/>
    <col min="6" max="6" width="13.7109375" customWidth="1"/>
    <col min="7" max="7" width="11.7109375" customWidth="1"/>
    <col min="8" max="8" width="14.85546875" customWidth="1"/>
    <col min="9" max="9" width="14.42578125" customWidth="1"/>
    <col min="10" max="10" width="15.5703125" customWidth="1"/>
    <col min="11" max="11" width="14.5703125" style="55" customWidth="1"/>
  </cols>
  <sheetData>
    <row r="1" spans="1:13" x14ac:dyDescent="0.25">
      <c r="A1" s="11" t="s">
        <v>125</v>
      </c>
      <c r="M1" s="41">
        <v>43957</v>
      </c>
    </row>
    <row r="3" spans="1:13" x14ac:dyDescent="0.25">
      <c r="A3" t="s">
        <v>132</v>
      </c>
      <c r="C3" s="11" t="s">
        <v>133</v>
      </c>
      <c r="M3" s="41">
        <v>43957</v>
      </c>
    </row>
    <row r="4" spans="1:13" x14ac:dyDescent="0.25">
      <c r="A4" s="56" t="s">
        <v>134</v>
      </c>
    </row>
    <row r="7" spans="1:13" s="54" customFormat="1" ht="60" x14ac:dyDescent="0.25">
      <c r="A7" s="54" t="s">
        <v>116</v>
      </c>
      <c r="B7" s="54" t="s">
        <v>117</v>
      </c>
      <c r="C7" s="54" t="s">
        <v>118</v>
      </c>
      <c r="D7" s="54" t="s">
        <v>119</v>
      </c>
      <c r="E7" s="54" t="s">
        <v>120</v>
      </c>
      <c r="F7" s="54" t="s">
        <v>121</v>
      </c>
      <c r="G7" s="54" t="s">
        <v>131</v>
      </c>
      <c r="H7" s="54" t="s">
        <v>123</v>
      </c>
      <c r="I7" s="54" t="s">
        <v>124</v>
      </c>
      <c r="J7" s="54" t="s">
        <v>124</v>
      </c>
      <c r="K7" s="58"/>
    </row>
    <row r="8" spans="1:13" x14ac:dyDescent="0.25">
      <c r="A8">
        <v>2020</v>
      </c>
      <c r="B8">
        <v>96990000</v>
      </c>
      <c r="J8" s="57" t="s">
        <v>135</v>
      </c>
    </row>
    <row r="9" spans="1:13" x14ac:dyDescent="0.25">
      <c r="A9">
        <v>2019</v>
      </c>
      <c r="B9">
        <v>89700000</v>
      </c>
      <c r="C9">
        <v>5331353000</v>
      </c>
      <c r="D9">
        <v>81482000</v>
      </c>
      <c r="E9">
        <v>13691561000</v>
      </c>
      <c r="F9">
        <v>168</v>
      </c>
      <c r="G9">
        <v>6587000</v>
      </c>
      <c r="H9">
        <v>132807000</v>
      </c>
      <c r="I9" s="1">
        <v>20.2</v>
      </c>
      <c r="J9" s="1">
        <f>I9*0.8</f>
        <v>16.16</v>
      </c>
    </row>
    <row r="10" spans="1:13" x14ac:dyDescent="0.25">
      <c r="A10">
        <v>2018</v>
      </c>
      <c r="B10">
        <v>88871000</v>
      </c>
      <c r="C10">
        <v>5553172000</v>
      </c>
      <c r="D10">
        <v>81276000</v>
      </c>
      <c r="E10">
        <v>14340369000</v>
      </c>
      <c r="F10">
        <v>176.4</v>
      </c>
      <c r="G10">
        <v>6120000</v>
      </c>
      <c r="H10">
        <v>121564000</v>
      </c>
      <c r="I10" s="1">
        <v>19.899999999999999</v>
      </c>
      <c r="J10" s="1">
        <f t="shared" ref="J10:J13" si="0">I10*0.8</f>
        <v>15.92</v>
      </c>
    </row>
    <row r="11" spans="1:13" x14ac:dyDescent="0.25">
      <c r="A11">
        <v>2017</v>
      </c>
      <c r="B11">
        <v>90167000</v>
      </c>
      <c r="C11">
        <v>5493881000</v>
      </c>
      <c r="D11">
        <v>82733000</v>
      </c>
      <c r="E11">
        <v>14609407000</v>
      </c>
      <c r="F11">
        <v>176.6</v>
      </c>
      <c r="G11">
        <v>6385000</v>
      </c>
      <c r="H11">
        <v>127434000</v>
      </c>
      <c r="I11" s="1">
        <v>20</v>
      </c>
      <c r="J11" s="1">
        <f t="shared" si="0"/>
        <v>16</v>
      </c>
    </row>
    <row r="12" spans="1:13" x14ac:dyDescent="0.25">
      <c r="A12">
        <v>2016</v>
      </c>
      <c r="B12">
        <v>94004000</v>
      </c>
      <c r="C12">
        <v>5289181000</v>
      </c>
      <c r="D12">
        <v>86748000</v>
      </c>
      <c r="E12">
        <v>15148038000</v>
      </c>
      <c r="F12">
        <v>174.6</v>
      </c>
      <c r="G12">
        <v>6206000</v>
      </c>
      <c r="H12">
        <v>126020000</v>
      </c>
      <c r="I12" s="1">
        <v>20.3</v>
      </c>
      <c r="J12" s="1">
        <f t="shared" si="0"/>
        <v>16.240000000000002</v>
      </c>
    </row>
    <row r="13" spans="1:13" x14ac:dyDescent="0.25">
      <c r="A13">
        <v>2015</v>
      </c>
      <c r="B13">
        <v>88019000</v>
      </c>
      <c r="C13">
        <v>5219402000</v>
      </c>
      <c r="D13">
        <v>80753000</v>
      </c>
      <c r="E13">
        <v>13601964000</v>
      </c>
      <c r="F13">
        <v>168.4</v>
      </c>
      <c r="G13">
        <v>6237000</v>
      </c>
      <c r="H13">
        <v>127311000</v>
      </c>
      <c r="I13" s="1">
        <v>20.399999999999999</v>
      </c>
      <c r="J13" s="1">
        <f t="shared" si="0"/>
        <v>16.32</v>
      </c>
    </row>
    <row r="16" spans="1:13" ht="75" x14ac:dyDescent="0.25">
      <c r="A16" s="54" t="s">
        <v>116</v>
      </c>
      <c r="B16" s="54" t="s">
        <v>126</v>
      </c>
      <c r="C16" s="54" t="s">
        <v>127</v>
      </c>
      <c r="D16" s="54" t="s">
        <v>146</v>
      </c>
      <c r="E16" s="54" t="s">
        <v>128</v>
      </c>
      <c r="F16" s="54" t="s">
        <v>121</v>
      </c>
      <c r="G16" s="54" t="s">
        <v>129</v>
      </c>
      <c r="H16" s="54" t="s">
        <v>130</v>
      </c>
      <c r="I16" s="54" t="s">
        <v>137</v>
      </c>
      <c r="J16" s="54" t="s">
        <v>137</v>
      </c>
      <c r="K16" s="58" t="s">
        <v>147</v>
      </c>
      <c r="L16" s="54" t="s">
        <v>136</v>
      </c>
    </row>
    <row r="17" spans="1:12" x14ac:dyDescent="0.25">
      <c r="A17">
        <f>A8</f>
        <v>2020</v>
      </c>
      <c r="B17">
        <f>B8/1000000</f>
        <v>96.99</v>
      </c>
      <c r="J17" s="57" t="s">
        <v>135</v>
      </c>
    </row>
    <row r="18" spans="1:12" x14ac:dyDescent="0.25">
      <c r="A18">
        <f t="shared" ref="A18:A22" si="1">A9</f>
        <v>2019</v>
      </c>
      <c r="B18" s="1">
        <f t="shared" ref="B18:E22" si="2">B9/1000000</f>
        <v>89.7</v>
      </c>
      <c r="C18" s="1">
        <f t="shared" si="2"/>
        <v>5331.3530000000001</v>
      </c>
      <c r="D18" s="1">
        <f t="shared" si="2"/>
        <v>81.481999999999999</v>
      </c>
      <c r="E18" s="55">
        <f t="shared" si="2"/>
        <v>13691.561</v>
      </c>
      <c r="F18">
        <f>F9</f>
        <v>168</v>
      </c>
      <c r="G18" s="1">
        <f>G9/1000000</f>
        <v>6.5869999999999997</v>
      </c>
      <c r="H18" s="1">
        <f>H9/1000000*2000/2204.6</f>
        <v>120.48172003991654</v>
      </c>
      <c r="I18" s="1">
        <f>H18/G18</f>
        <v>18.290833465905045</v>
      </c>
      <c r="J18" s="1">
        <f>I18*0.8</f>
        <v>14.632666772724036</v>
      </c>
      <c r="K18" s="55">
        <f>D18*'Calc Air Swept Per Acre Corn'!L$30</f>
        <v>1272.9660694438305</v>
      </c>
      <c r="L18" s="34">
        <f>C18/E18</f>
        <v>0.38938971239291126</v>
      </c>
    </row>
    <row r="19" spans="1:12" x14ac:dyDescent="0.25">
      <c r="A19">
        <f t="shared" si="1"/>
        <v>2018</v>
      </c>
      <c r="B19" s="1">
        <f t="shared" si="2"/>
        <v>88.870999999999995</v>
      </c>
      <c r="C19" s="1">
        <f t="shared" si="2"/>
        <v>5553.1719999999996</v>
      </c>
      <c r="D19" s="1">
        <f t="shared" si="2"/>
        <v>81.275999999999996</v>
      </c>
      <c r="E19" s="55">
        <f t="shared" si="2"/>
        <v>14340.369000000001</v>
      </c>
      <c r="F19">
        <f t="shared" ref="F19:F22" si="3">F10</f>
        <v>176.4</v>
      </c>
      <c r="G19" s="1">
        <f t="shared" ref="G19" si="4">G10/1000000</f>
        <v>6.12</v>
      </c>
      <c r="H19" s="1">
        <f t="shared" ref="H19:H22" si="5">H10/1000000*2000/2204.6</f>
        <v>110.282137349179</v>
      </c>
      <c r="I19" s="1">
        <f t="shared" ref="I19:I22" si="6">H19/G19</f>
        <v>18.019957083199181</v>
      </c>
      <c r="J19" s="1">
        <f t="shared" ref="J19:J22" si="7">I19*0.8</f>
        <v>14.415965666559345</v>
      </c>
      <c r="K19" s="55">
        <f>D19*'Calc Air Swept Per Acre Corn'!L$30</f>
        <v>1269.7478002517951</v>
      </c>
      <c r="L19" s="34">
        <f>C19/E19</f>
        <v>0.38724052358764266</v>
      </c>
    </row>
    <row r="20" spans="1:12" x14ac:dyDescent="0.25">
      <c r="A20">
        <f t="shared" si="1"/>
        <v>2017</v>
      </c>
      <c r="B20" s="1">
        <f t="shared" si="2"/>
        <v>90.167000000000002</v>
      </c>
      <c r="C20" s="1">
        <f t="shared" si="2"/>
        <v>5493.8810000000003</v>
      </c>
      <c r="D20" s="1">
        <f t="shared" si="2"/>
        <v>82.733000000000004</v>
      </c>
      <c r="E20" s="55">
        <f t="shared" si="2"/>
        <v>14609.406999999999</v>
      </c>
      <c r="F20">
        <f t="shared" si="3"/>
        <v>176.6</v>
      </c>
      <c r="G20" s="1">
        <f t="shared" ref="G20" si="8">G11/1000000</f>
        <v>6.3849999999999998</v>
      </c>
      <c r="H20" s="1">
        <f t="shared" si="5"/>
        <v>115.60736641567632</v>
      </c>
      <c r="I20" s="1">
        <f t="shared" si="6"/>
        <v>18.10608714419363</v>
      </c>
      <c r="J20" s="1">
        <f t="shared" si="7"/>
        <v>14.484869715354904</v>
      </c>
      <c r="K20" s="55">
        <f>D20*'Calc Air Swept Per Acre Corn'!L$30</f>
        <v>1292.5100245857543</v>
      </c>
      <c r="L20" s="34">
        <f>C20/E20</f>
        <v>0.37605092390129186</v>
      </c>
    </row>
    <row r="21" spans="1:12" x14ac:dyDescent="0.25">
      <c r="A21">
        <f t="shared" si="1"/>
        <v>2016</v>
      </c>
      <c r="B21" s="1">
        <f t="shared" si="2"/>
        <v>94.004000000000005</v>
      </c>
      <c r="C21" s="1">
        <f t="shared" si="2"/>
        <v>5289.1809999999996</v>
      </c>
      <c r="D21" s="1">
        <f t="shared" si="2"/>
        <v>86.748000000000005</v>
      </c>
      <c r="E21" s="55">
        <f t="shared" si="2"/>
        <v>15148.038</v>
      </c>
      <c r="F21">
        <f t="shared" si="3"/>
        <v>174.6</v>
      </c>
      <c r="G21" s="1">
        <f t="shared" ref="G21" si="9">G12/1000000</f>
        <v>6.2060000000000004</v>
      </c>
      <c r="H21" s="1">
        <f t="shared" si="5"/>
        <v>114.32459403066316</v>
      </c>
      <c r="I21" s="1">
        <f t="shared" si="6"/>
        <v>18.421623272746238</v>
      </c>
      <c r="J21" s="1">
        <f t="shared" si="7"/>
        <v>14.737298618196991</v>
      </c>
      <c r="K21" s="55">
        <f>D21*'Calc Air Swept Per Acre Corn'!L$30</f>
        <v>1355.2350284984834</v>
      </c>
      <c r="L21" s="34">
        <f>C21/E21</f>
        <v>0.34916607682130185</v>
      </c>
    </row>
    <row r="22" spans="1:12" x14ac:dyDescent="0.25">
      <c r="A22">
        <f t="shared" si="1"/>
        <v>2015</v>
      </c>
      <c r="B22" s="1">
        <f t="shared" si="2"/>
        <v>88.019000000000005</v>
      </c>
      <c r="C22" s="1">
        <f t="shared" si="2"/>
        <v>5219.402</v>
      </c>
      <c r="D22" s="1">
        <f t="shared" si="2"/>
        <v>80.753</v>
      </c>
      <c r="E22" s="55">
        <f t="shared" si="2"/>
        <v>13601.964</v>
      </c>
      <c r="F22">
        <f t="shared" si="3"/>
        <v>168.4</v>
      </c>
      <c r="G22" s="1">
        <f t="shared" ref="G22" si="10">G13/1000000</f>
        <v>6.2370000000000001</v>
      </c>
      <c r="H22" s="1">
        <f t="shared" si="5"/>
        <v>115.49578154767305</v>
      </c>
      <c r="I22" s="1">
        <f t="shared" si="6"/>
        <v>18.51784215931907</v>
      </c>
      <c r="J22" s="1">
        <f t="shared" si="7"/>
        <v>14.814273727455257</v>
      </c>
      <c r="K22" s="55">
        <f>D22*'Calc Air Swept Per Acre Corn'!L$30</f>
        <v>1261.5771459438606</v>
      </c>
      <c r="L22" s="34">
        <f>C22/E22</f>
        <v>0.38372414454265574</v>
      </c>
    </row>
  </sheetData>
  <hyperlinks>
    <hyperlink ref="A1" r:id="rId1" xr:uid="{0E3C1585-DB2D-4410-99CE-7A9325003987}"/>
    <hyperlink ref="C3" r:id="rId2" display="http://utbfc.utk.edu/Content Folders/Forages/Hay and Silage/Publications/sp434d.pdf" xr:uid="{407E565D-740E-4792-90BA-C08949BCFC6E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0C55C-0209-418A-9FC8-7854A6574655}">
  <dimension ref="A1:O11"/>
  <sheetViews>
    <sheetView workbookViewId="0">
      <selection activeCell="A3" sqref="A3"/>
    </sheetView>
  </sheetViews>
  <sheetFormatPr defaultRowHeight="15" x14ac:dyDescent="0.25"/>
  <cols>
    <col min="1" max="1" width="37" customWidth="1"/>
  </cols>
  <sheetData>
    <row r="1" spans="1:15" x14ac:dyDescent="0.25">
      <c r="A1" s="11" t="s">
        <v>142</v>
      </c>
      <c r="O1" s="41">
        <v>43958</v>
      </c>
    </row>
    <row r="3" spans="1:15" x14ac:dyDescent="0.25">
      <c r="A3" s="11" t="s">
        <v>145</v>
      </c>
    </row>
    <row r="4" spans="1:15" x14ac:dyDescent="0.25">
      <c r="A4" t="s">
        <v>143</v>
      </c>
      <c r="B4" t="s">
        <v>144</v>
      </c>
      <c r="D4" t="s">
        <v>51</v>
      </c>
      <c r="F4">
        <v>13</v>
      </c>
      <c r="G4" t="s">
        <v>52</v>
      </c>
    </row>
    <row r="7" spans="1:15" ht="71.25" x14ac:dyDescent="0.25">
      <c r="A7" s="42" t="s">
        <v>138</v>
      </c>
    </row>
    <row r="8" spans="1:15" x14ac:dyDescent="0.25">
      <c r="A8" s="45" t="s">
        <v>116</v>
      </c>
      <c r="B8" s="46">
        <v>2019</v>
      </c>
      <c r="C8" s="46">
        <v>2018</v>
      </c>
      <c r="D8" s="46">
        <v>2017</v>
      </c>
      <c r="E8" s="46">
        <v>2016</v>
      </c>
      <c r="F8" s="46">
        <v>2015</v>
      </c>
      <c r="G8" s="47">
        <v>2014</v>
      </c>
    </row>
    <row r="9" spans="1:15" ht="36" x14ac:dyDescent="0.25">
      <c r="A9" s="48" t="s">
        <v>139</v>
      </c>
      <c r="B9" s="44">
        <v>62574532</v>
      </c>
      <c r="C9" s="44">
        <v>62971231</v>
      </c>
      <c r="D9" s="44">
        <v>57547269</v>
      </c>
      <c r="E9" s="44">
        <v>57079294</v>
      </c>
      <c r="F9" s="43"/>
      <c r="G9" s="50"/>
    </row>
    <row r="10" spans="1:15" ht="45" x14ac:dyDescent="0.25">
      <c r="A10" s="48" t="s">
        <v>140</v>
      </c>
      <c r="B10" s="44">
        <v>3558281000</v>
      </c>
      <c r="C10" s="44">
        <v>4428150000</v>
      </c>
      <c r="D10" s="44">
        <v>4411633000</v>
      </c>
      <c r="E10" s="44">
        <v>4296496000</v>
      </c>
      <c r="F10" s="44">
        <v>3926779000</v>
      </c>
      <c r="G10" s="49">
        <v>3928070000</v>
      </c>
    </row>
    <row r="11" spans="1:15" ht="90" x14ac:dyDescent="0.25">
      <c r="A11" s="51" t="s">
        <v>141</v>
      </c>
      <c r="B11" s="52">
        <v>4</v>
      </c>
      <c r="C11" s="52">
        <v>5</v>
      </c>
      <c r="D11" s="52">
        <v>4</v>
      </c>
      <c r="E11" s="52">
        <v>5</v>
      </c>
      <c r="F11" s="52">
        <v>6</v>
      </c>
      <c r="G11" s="53">
        <v>7</v>
      </c>
    </row>
  </sheetData>
  <hyperlinks>
    <hyperlink ref="A1" r:id="rId1" xr:uid="{CC51A5B5-F402-40B9-87D0-0F5BFA3B9B6C}"/>
    <hyperlink ref="A3" r:id="rId2" xr:uid="{3F3B73B1-3EA6-496D-A9F7-54F2C33D8F69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FC33A-050D-4CD6-9610-6D2CFABDF4E8}">
  <dimension ref="A5:B115"/>
  <sheetViews>
    <sheetView tabSelected="1" workbookViewId="0">
      <selection activeCell="A7" sqref="A7:A114"/>
    </sheetView>
  </sheetViews>
  <sheetFormatPr defaultRowHeight="15" x14ac:dyDescent="0.25"/>
  <cols>
    <col min="1" max="1" width="21.140625" customWidth="1"/>
  </cols>
  <sheetData>
    <row r="5" spans="1:2" x14ac:dyDescent="0.25">
      <c r="B5" t="s">
        <v>77</v>
      </c>
    </row>
    <row r="6" spans="1:2" ht="15.75" thickBot="1" x14ac:dyDescent="0.3">
      <c r="A6" t="s">
        <v>285</v>
      </c>
      <c r="B6" t="s">
        <v>284</v>
      </c>
    </row>
    <row r="7" spans="1:2" ht="16.5" thickTop="1" thickBot="1" x14ac:dyDescent="0.3">
      <c r="A7" s="62" t="s">
        <v>148</v>
      </c>
      <c r="B7" s="59" t="s">
        <v>149</v>
      </c>
    </row>
    <row r="8" spans="1:2" ht="15.75" thickBot="1" x14ac:dyDescent="0.3">
      <c r="A8" s="63" t="s">
        <v>150</v>
      </c>
      <c r="B8" s="60">
        <v>710</v>
      </c>
    </row>
    <row r="9" spans="1:2" ht="15.75" thickBot="1" x14ac:dyDescent="0.3">
      <c r="A9" s="63" t="s">
        <v>151</v>
      </c>
      <c r="B9" s="60">
        <v>510</v>
      </c>
    </row>
    <row r="10" spans="1:2" ht="15.75" thickBot="1" x14ac:dyDescent="0.3">
      <c r="A10" s="63" t="s">
        <v>152</v>
      </c>
      <c r="B10" s="60" t="s">
        <v>153</v>
      </c>
    </row>
    <row r="11" spans="1:2" ht="15.75" thickBot="1" x14ac:dyDescent="0.3">
      <c r="A11" s="63" t="s">
        <v>154</v>
      </c>
      <c r="B11" s="60" t="s">
        <v>153</v>
      </c>
    </row>
    <row r="12" spans="1:2" ht="15.75" thickBot="1" x14ac:dyDescent="0.3">
      <c r="A12" s="63" t="s">
        <v>155</v>
      </c>
      <c r="B12" s="60">
        <v>540</v>
      </c>
    </row>
    <row r="13" spans="1:2" ht="15.75" thickBot="1" x14ac:dyDescent="0.3">
      <c r="A13" s="63" t="s">
        <v>156</v>
      </c>
      <c r="B13" s="60">
        <v>710</v>
      </c>
    </row>
    <row r="14" spans="1:2" ht="15.75" thickBot="1" x14ac:dyDescent="0.3">
      <c r="A14" s="63" t="s">
        <v>157</v>
      </c>
      <c r="B14" s="60">
        <v>420</v>
      </c>
    </row>
    <row r="15" spans="1:2" ht="15.75" thickBot="1" x14ac:dyDescent="0.3">
      <c r="A15" s="63" t="s">
        <v>158</v>
      </c>
      <c r="B15" s="60" t="s">
        <v>159</v>
      </c>
    </row>
    <row r="16" spans="1:2" ht="15.75" thickBot="1" x14ac:dyDescent="0.3">
      <c r="A16" s="63" t="s">
        <v>160</v>
      </c>
      <c r="B16" s="60" t="s">
        <v>161</v>
      </c>
    </row>
    <row r="17" spans="1:2" ht="15.75" thickBot="1" x14ac:dyDescent="0.3">
      <c r="A17" s="63" t="s">
        <v>162</v>
      </c>
      <c r="B17" s="60" t="s">
        <v>163</v>
      </c>
    </row>
    <row r="18" spans="1:2" ht="15.75" thickBot="1" x14ac:dyDescent="0.3">
      <c r="A18" s="63" t="s">
        <v>164</v>
      </c>
      <c r="B18" s="60" t="s">
        <v>165</v>
      </c>
    </row>
    <row r="19" spans="1:2" ht="15.75" thickBot="1" x14ac:dyDescent="0.3">
      <c r="A19" s="63" t="s">
        <v>166</v>
      </c>
      <c r="B19" s="60" t="s">
        <v>167</v>
      </c>
    </row>
    <row r="20" spans="1:2" ht="15.75" thickBot="1" x14ac:dyDescent="0.3">
      <c r="A20" s="63" t="s">
        <v>168</v>
      </c>
      <c r="B20" s="60">
        <v>670</v>
      </c>
    </row>
    <row r="21" spans="1:2" ht="15.75" thickBot="1" x14ac:dyDescent="0.3">
      <c r="A21" s="63" t="s">
        <v>169</v>
      </c>
      <c r="B21" s="60">
        <v>670</v>
      </c>
    </row>
    <row r="22" spans="1:2" ht="15.75" thickBot="1" x14ac:dyDescent="0.3">
      <c r="A22" s="63" t="s">
        <v>170</v>
      </c>
      <c r="B22" s="60">
        <v>1000</v>
      </c>
    </row>
    <row r="23" spans="1:2" ht="24.75" thickBot="1" x14ac:dyDescent="0.3">
      <c r="A23" s="63" t="s">
        <v>171</v>
      </c>
      <c r="B23" s="60" t="s">
        <v>172</v>
      </c>
    </row>
    <row r="24" spans="1:2" ht="15.75" thickBot="1" x14ac:dyDescent="0.3">
      <c r="A24" s="63" t="s">
        <v>173</v>
      </c>
      <c r="B24" s="60">
        <v>380</v>
      </c>
    </row>
    <row r="25" spans="1:2" ht="15.75" thickBot="1" x14ac:dyDescent="0.3">
      <c r="A25" s="63" t="s">
        <v>174</v>
      </c>
      <c r="B25" s="60" t="s">
        <v>175</v>
      </c>
    </row>
    <row r="26" spans="1:2" ht="15.75" thickBot="1" x14ac:dyDescent="0.3">
      <c r="A26" s="63" t="s">
        <v>176</v>
      </c>
      <c r="B26" s="60">
        <v>580</v>
      </c>
    </row>
    <row r="27" spans="1:2" ht="15.75" thickBot="1" x14ac:dyDescent="0.3">
      <c r="A27" s="63" t="s">
        <v>177</v>
      </c>
      <c r="B27" s="60">
        <v>380</v>
      </c>
    </row>
    <row r="28" spans="1:2" ht="15.75" thickBot="1" x14ac:dyDescent="0.3">
      <c r="A28" s="63" t="s">
        <v>178</v>
      </c>
      <c r="B28" s="60" t="s">
        <v>179</v>
      </c>
    </row>
    <row r="29" spans="1:2" ht="15.75" thickBot="1" x14ac:dyDescent="0.3">
      <c r="A29" s="63" t="s">
        <v>180</v>
      </c>
      <c r="B29" s="60">
        <v>630</v>
      </c>
    </row>
    <row r="30" spans="1:2" ht="15.75" thickBot="1" x14ac:dyDescent="0.3">
      <c r="A30" s="63" t="s">
        <v>181</v>
      </c>
      <c r="B30" s="60">
        <v>560</v>
      </c>
    </row>
    <row r="31" spans="1:2" ht="15.75" thickBot="1" x14ac:dyDescent="0.3">
      <c r="A31" s="63" t="s">
        <v>182</v>
      </c>
      <c r="B31" s="60">
        <v>410</v>
      </c>
    </row>
    <row r="32" spans="1:2" ht="15.75" thickBot="1" x14ac:dyDescent="0.3">
      <c r="A32" s="63" t="s">
        <v>183</v>
      </c>
      <c r="B32" s="60">
        <v>510</v>
      </c>
    </row>
    <row r="33" spans="1:2" ht="15.75" thickBot="1" x14ac:dyDescent="0.3">
      <c r="A33" s="63" t="s">
        <v>184</v>
      </c>
      <c r="B33" s="60">
        <v>760</v>
      </c>
    </row>
    <row r="34" spans="1:2" ht="15.75" thickBot="1" x14ac:dyDescent="0.3">
      <c r="A34" s="63" t="s">
        <v>185</v>
      </c>
      <c r="B34" s="60">
        <v>530</v>
      </c>
    </row>
    <row r="35" spans="1:2" ht="24.75" thickBot="1" x14ac:dyDescent="0.3">
      <c r="A35" s="63" t="s">
        <v>186</v>
      </c>
      <c r="B35" s="60" t="s">
        <v>187</v>
      </c>
    </row>
    <row r="36" spans="1:2" ht="15.75" thickBot="1" x14ac:dyDescent="0.3">
      <c r="A36" s="63" t="s">
        <v>188</v>
      </c>
      <c r="B36" s="60" t="s">
        <v>189</v>
      </c>
    </row>
    <row r="37" spans="1:2" ht="15.75" thickBot="1" x14ac:dyDescent="0.3">
      <c r="A37" s="63" t="s">
        <v>190</v>
      </c>
      <c r="B37" s="60">
        <v>570</v>
      </c>
    </row>
    <row r="38" spans="1:2" ht="15.75" thickBot="1" x14ac:dyDescent="0.3">
      <c r="A38" s="63" t="s">
        <v>191</v>
      </c>
      <c r="B38" s="60" t="s">
        <v>192</v>
      </c>
    </row>
    <row r="39" spans="1:2" ht="15.75" thickBot="1" x14ac:dyDescent="0.3">
      <c r="A39" s="63" t="s">
        <v>193</v>
      </c>
      <c r="B39" s="60">
        <v>560</v>
      </c>
    </row>
    <row r="40" spans="1:2" ht="15.75" thickBot="1" x14ac:dyDescent="0.3">
      <c r="A40" s="63" t="s">
        <v>194</v>
      </c>
      <c r="B40" s="60">
        <v>690</v>
      </c>
    </row>
    <row r="41" spans="1:2" ht="15.75" thickBot="1" x14ac:dyDescent="0.3">
      <c r="A41" s="63" t="s">
        <v>195</v>
      </c>
      <c r="B41" s="60">
        <v>820</v>
      </c>
    </row>
    <row r="42" spans="1:2" ht="15.75" thickBot="1" x14ac:dyDescent="0.3">
      <c r="A42" s="63" t="s">
        <v>196</v>
      </c>
      <c r="B42" s="60">
        <v>430</v>
      </c>
    </row>
    <row r="43" spans="1:2" ht="15.75" thickBot="1" x14ac:dyDescent="0.3">
      <c r="A43" s="63" t="s">
        <v>197</v>
      </c>
      <c r="B43" s="60">
        <v>1040</v>
      </c>
    </row>
    <row r="44" spans="1:2" ht="15.75" thickBot="1" x14ac:dyDescent="0.3">
      <c r="A44" s="63" t="s">
        <v>198</v>
      </c>
      <c r="B44" s="60">
        <v>590</v>
      </c>
    </row>
    <row r="45" spans="1:2" ht="15.75" thickBot="1" x14ac:dyDescent="0.3">
      <c r="A45" s="63" t="s">
        <v>199</v>
      </c>
      <c r="B45" s="60">
        <v>820</v>
      </c>
    </row>
    <row r="46" spans="1:2" ht="15.75" thickBot="1" x14ac:dyDescent="0.3">
      <c r="A46" s="63" t="s">
        <v>200</v>
      </c>
      <c r="B46" s="60">
        <v>540</v>
      </c>
    </row>
    <row r="47" spans="1:2" ht="15.75" thickBot="1" x14ac:dyDescent="0.3">
      <c r="A47" s="63" t="s">
        <v>201</v>
      </c>
      <c r="B47" s="60">
        <v>620</v>
      </c>
    </row>
    <row r="48" spans="1:2" ht="15.75" thickBot="1" x14ac:dyDescent="0.3">
      <c r="A48" s="63" t="s">
        <v>202</v>
      </c>
      <c r="B48" s="60">
        <v>500</v>
      </c>
    </row>
    <row r="49" spans="1:2" ht="15.75" thickBot="1" x14ac:dyDescent="0.3">
      <c r="A49" s="63" t="s">
        <v>203</v>
      </c>
      <c r="B49" s="60" t="s">
        <v>204</v>
      </c>
    </row>
    <row r="50" spans="1:2" ht="15.75" thickBot="1" x14ac:dyDescent="0.3">
      <c r="A50" s="63" t="s">
        <v>205</v>
      </c>
      <c r="B50" s="60">
        <v>760</v>
      </c>
    </row>
    <row r="51" spans="1:2" ht="15.75" thickBot="1" x14ac:dyDescent="0.3">
      <c r="A51" s="63" t="s">
        <v>206</v>
      </c>
      <c r="B51" s="60">
        <v>660</v>
      </c>
    </row>
    <row r="52" spans="1:2" ht="15.75" thickBot="1" x14ac:dyDescent="0.3">
      <c r="A52" s="63" t="s">
        <v>207</v>
      </c>
      <c r="B52" s="60">
        <v>560</v>
      </c>
    </row>
    <row r="53" spans="1:2" ht="15.75" thickBot="1" x14ac:dyDescent="0.3">
      <c r="A53" s="63" t="s">
        <v>208</v>
      </c>
      <c r="B53" s="60">
        <v>740</v>
      </c>
    </row>
    <row r="54" spans="1:2" ht="15.75" thickBot="1" x14ac:dyDescent="0.3">
      <c r="A54" s="63" t="s">
        <v>209</v>
      </c>
      <c r="B54" s="60" t="s">
        <v>210</v>
      </c>
    </row>
    <row r="55" spans="1:2" ht="24.75" thickBot="1" x14ac:dyDescent="0.3">
      <c r="A55" s="63" t="s">
        <v>211</v>
      </c>
      <c r="B55" s="60" t="s">
        <v>212</v>
      </c>
    </row>
    <row r="56" spans="1:2" ht="15.75" thickBot="1" x14ac:dyDescent="0.3">
      <c r="A56" s="63" t="s">
        <v>213</v>
      </c>
      <c r="B56" s="60">
        <v>560</v>
      </c>
    </row>
    <row r="57" spans="1:2" ht="15.75" thickBot="1" x14ac:dyDescent="0.3">
      <c r="A57" s="63" t="s">
        <v>214</v>
      </c>
      <c r="B57" s="60" t="s">
        <v>215</v>
      </c>
    </row>
    <row r="58" spans="1:2" ht="15.75" thickBot="1" x14ac:dyDescent="0.3">
      <c r="A58" s="63" t="s">
        <v>216</v>
      </c>
      <c r="B58" s="60">
        <v>910</v>
      </c>
    </row>
    <row r="59" spans="1:2" ht="15.75" thickBot="1" x14ac:dyDescent="0.3">
      <c r="A59" s="63" t="s">
        <v>217</v>
      </c>
      <c r="B59" s="60">
        <v>740</v>
      </c>
    </row>
    <row r="60" spans="1:2" ht="15.75" thickBot="1" x14ac:dyDescent="0.3">
      <c r="A60" s="63" t="s">
        <v>218</v>
      </c>
      <c r="B60" s="60">
        <v>570</v>
      </c>
    </row>
    <row r="61" spans="1:2" ht="15.75" thickBot="1" x14ac:dyDescent="0.3">
      <c r="A61" s="63" t="s">
        <v>219</v>
      </c>
      <c r="B61" s="60" t="s">
        <v>220</v>
      </c>
    </row>
    <row r="62" spans="1:2" ht="15.75" thickBot="1" x14ac:dyDescent="0.3">
      <c r="A62" s="63" t="s">
        <v>221</v>
      </c>
      <c r="B62" s="60">
        <v>660</v>
      </c>
    </row>
    <row r="63" spans="1:2" ht="15.75" thickBot="1" x14ac:dyDescent="0.3">
      <c r="A63" s="63" t="s">
        <v>222</v>
      </c>
      <c r="B63" s="60">
        <v>650</v>
      </c>
    </row>
    <row r="64" spans="1:2" ht="15.75" thickBot="1" x14ac:dyDescent="0.3">
      <c r="A64" s="63" t="s">
        <v>223</v>
      </c>
      <c r="B64" s="60">
        <v>850</v>
      </c>
    </row>
    <row r="65" spans="1:2" ht="15.75" thickBot="1" x14ac:dyDescent="0.3">
      <c r="A65" s="63" t="s">
        <v>224</v>
      </c>
      <c r="B65" s="60" t="s">
        <v>225</v>
      </c>
    </row>
    <row r="66" spans="1:2" ht="15.75" thickBot="1" x14ac:dyDescent="0.3">
      <c r="A66" s="63" t="s">
        <v>226</v>
      </c>
      <c r="B66" s="60">
        <v>710</v>
      </c>
    </row>
    <row r="67" spans="1:2" ht="15.75" thickBot="1" x14ac:dyDescent="0.3">
      <c r="A67" s="63" t="s">
        <v>227</v>
      </c>
      <c r="B67" s="60">
        <v>660</v>
      </c>
    </row>
    <row r="68" spans="1:2" ht="15.75" thickBot="1" x14ac:dyDescent="0.3">
      <c r="A68" s="63" t="s">
        <v>228</v>
      </c>
      <c r="B68" s="60" t="s">
        <v>229</v>
      </c>
    </row>
    <row r="69" spans="1:2" ht="15.75" thickBot="1" x14ac:dyDescent="0.3">
      <c r="A69" s="63" t="s">
        <v>230</v>
      </c>
      <c r="B69" s="60">
        <v>740</v>
      </c>
    </row>
    <row r="70" spans="1:2" ht="15.75" thickBot="1" x14ac:dyDescent="0.3">
      <c r="A70" s="63" t="s">
        <v>231</v>
      </c>
      <c r="B70" s="60">
        <v>770</v>
      </c>
    </row>
    <row r="71" spans="1:2" ht="15.75" thickBot="1" x14ac:dyDescent="0.3">
      <c r="A71" s="63" t="s">
        <v>232</v>
      </c>
      <c r="B71" s="60">
        <v>740</v>
      </c>
    </row>
    <row r="72" spans="1:2" ht="15.75" thickBot="1" x14ac:dyDescent="0.3">
      <c r="A72" s="63" t="s">
        <v>233</v>
      </c>
      <c r="B72" s="60">
        <v>390</v>
      </c>
    </row>
    <row r="73" spans="1:2" ht="15.75" thickBot="1" x14ac:dyDescent="0.3">
      <c r="A73" s="63" t="s">
        <v>234</v>
      </c>
      <c r="B73" s="60">
        <v>530</v>
      </c>
    </row>
    <row r="74" spans="1:2" ht="15.75" thickBot="1" x14ac:dyDescent="0.3">
      <c r="A74" s="63" t="s">
        <v>235</v>
      </c>
      <c r="B74" s="60">
        <v>560</v>
      </c>
    </row>
    <row r="75" spans="1:2" ht="15.75" thickBot="1" x14ac:dyDescent="0.3">
      <c r="A75" s="63" t="s">
        <v>236</v>
      </c>
      <c r="B75" s="60" t="s">
        <v>237</v>
      </c>
    </row>
    <row r="76" spans="1:2" ht="15.75" thickBot="1" x14ac:dyDescent="0.3">
      <c r="A76" s="63" t="s">
        <v>238</v>
      </c>
      <c r="B76" s="60">
        <v>770</v>
      </c>
    </row>
    <row r="77" spans="1:2" ht="15.75" thickBot="1" x14ac:dyDescent="0.3">
      <c r="A77" s="63" t="s">
        <v>239</v>
      </c>
      <c r="B77" s="60">
        <v>900</v>
      </c>
    </row>
    <row r="78" spans="1:2" ht="15.75" thickBot="1" x14ac:dyDescent="0.3">
      <c r="A78" s="63" t="s">
        <v>240</v>
      </c>
      <c r="B78" s="60">
        <v>590</v>
      </c>
    </row>
    <row r="79" spans="1:2" ht="15.75" thickBot="1" x14ac:dyDescent="0.3">
      <c r="A79" s="63" t="s">
        <v>241</v>
      </c>
      <c r="B79" s="60" t="s">
        <v>242</v>
      </c>
    </row>
    <row r="80" spans="1:2" ht="15.75" thickBot="1" x14ac:dyDescent="0.3">
      <c r="A80" s="63" t="s">
        <v>243</v>
      </c>
      <c r="B80" s="60">
        <v>510</v>
      </c>
    </row>
    <row r="81" spans="1:2" ht="15.75" thickBot="1" x14ac:dyDescent="0.3">
      <c r="A81" s="63" t="s">
        <v>244</v>
      </c>
      <c r="B81" s="60">
        <v>480</v>
      </c>
    </row>
    <row r="82" spans="1:2" ht="15.75" thickBot="1" x14ac:dyDescent="0.3">
      <c r="A82" s="63" t="s">
        <v>245</v>
      </c>
      <c r="B82" s="60">
        <v>510</v>
      </c>
    </row>
    <row r="83" spans="1:2" ht="15.75" thickBot="1" x14ac:dyDescent="0.3">
      <c r="A83" s="63" t="s">
        <v>246</v>
      </c>
      <c r="B83" s="60" t="s">
        <v>247</v>
      </c>
    </row>
    <row r="84" spans="1:2" ht="15.75" thickBot="1" x14ac:dyDescent="0.3">
      <c r="A84" s="63" t="s">
        <v>248</v>
      </c>
      <c r="B84" s="60">
        <v>420</v>
      </c>
    </row>
    <row r="85" spans="1:2" ht="15.75" thickBot="1" x14ac:dyDescent="0.3">
      <c r="A85" s="63" t="s">
        <v>249</v>
      </c>
      <c r="B85" s="60">
        <v>640</v>
      </c>
    </row>
    <row r="86" spans="1:2" ht="15.75" thickBot="1" x14ac:dyDescent="0.3">
      <c r="A86" s="63" t="s">
        <v>250</v>
      </c>
      <c r="B86" s="60" t="s">
        <v>251</v>
      </c>
    </row>
    <row r="87" spans="1:2" ht="15.75" thickBot="1" x14ac:dyDescent="0.3">
      <c r="A87" s="63" t="s">
        <v>252</v>
      </c>
      <c r="B87" s="60" t="s">
        <v>247</v>
      </c>
    </row>
    <row r="88" spans="1:2" ht="15.75" thickBot="1" x14ac:dyDescent="0.3">
      <c r="A88" s="63" t="s">
        <v>253</v>
      </c>
      <c r="B88" s="60">
        <v>670</v>
      </c>
    </row>
    <row r="89" spans="1:2" ht="15.75" thickBot="1" x14ac:dyDescent="0.3">
      <c r="A89" s="63" t="s">
        <v>254</v>
      </c>
      <c r="B89" s="60">
        <v>450</v>
      </c>
    </row>
    <row r="90" spans="1:2" ht="15.75" thickBot="1" x14ac:dyDescent="0.3">
      <c r="A90" s="63" t="s">
        <v>255</v>
      </c>
      <c r="B90" s="60">
        <v>510</v>
      </c>
    </row>
    <row r="91" spans="1:2" ht="15.75" thickBot="1" x14ac:dyDescent="0.3">
      <c r="A91" s="63" t="s">
        <v>256</v>
      </c>
      <c r="B91" s="60">
        <v>820</v>
      </c>
    </row>
    <row r="92" spans="1:2" ht="15.75" thickBot="1" x14ac:dyDescent="0.3">
      <c r="A92" s="63" t="s">
        <v>257</v>
      </c>
      <c r="B92" s="60">
        <v>900</v>
      </c>
    </row>
    <row r="93" spans="1:2" ht="15.75" thickBot="1" x14ac:dyDescent="0.3">
      <c r="A93" s="63" t="s">
        <v>258</v>
      </c>
      <c r="B93" s="60">
        <v>640</v>
      </c>
    </row>
    <row r="94" spans="1:2" ht="15.75" thickBot="1" x14ac:dyDescent="0.3">
      <c r="A94" s="63" t="s">
        <v>259</v>
      </c>
      <c r="B94" s="60">
        <v>950</v>
      </c>
    </row>
    <row r="95" spans="1:2" ht="15.75" thickBot="1" x14ac:dyDescent="0.3">
      <c r="A95" s="63" t="s">
        <v>260</v>
      </c>
      <c r="B95" s="60" t="s">
        <v>261</v>
      </c>
    </row>
    <row r="96" spans="1:2" ht="15.75" thickBot="1" x14ac:dyDescent="0.3">
      <c r="A96" s="63" t="s">
        <v>262</v>
      </c>
      <c r="B96" s="60">
        <v>450</v>
      </c>
    </row>
    <row r="97" spans="1:2" ht="15.75" thickBot="1" x14ac:dyDescent="0.3">
      <c r="A97" s="63" t="s">
        <v>263</v>
      </c>
      <c r="B97" s="60">
        <v>430</v>
      </c>
    </row>
    <row r="98" spans="1:2" ht="15.75" thickBot="1" x14ac:dyDescent="0.3">
      <c r="A98" s="63" t="s">
        <v>264</v>
      </c>
      <c r="B98" s="60">
        <v>450</v>
      </c>
    </row>
    <row r="99" spans="1:2" ht="15.75" thickBot="1" x14ac:dyDescent="0.3">
      <c r="A99" s="63" t="s">
        <v>265</v>
      </c>
      <c r="B99" s="60">
        <v>450</v>
      </c>
    </row>
    <row r="100" spans="1:2" ht="15.75" thickBot="1" x14ac:dyDescent="0.3">
      <c r="A100" s="63" t="s">
        <v>266</v>
      </c>
      <c r="B100" s="60" t="s">
        <v>267</v>
      </c>
    </row>
    <row r="101" spans="1:2" ht="15.75" thickBot="1" x14ac:dyDescent="0.3">
      <c r="A101" s="63" t="s">
        <v>268</v>
      </c>
      <c r="B101" s="60">
        <v>640</v>
      </c>
    </row>
    <row r="102" spans="1:2" ht="15.75" thickBot="1" x14ac:dyDescent="0.3">
      <c r="A102" s="63" t="s">
        <v>269</v>
      </c>
      <c r="B102" s="60" t="s">
        <v>270</v>
      </c>
    </row>
    <row r="103" spans="1:2" ht="15.75" thickBot="1" x14ac:dyDescent="0.3">
      <c r="A103" s="63" t="s">
        <v>271</v>
      </c>
      <c r="B103" s="60">
        <v>980</v>
      </c>
    </row>
    <row r="104" spans="1:2" ht="15.75" thickBot="1" x14ac:dyDescent="0.3">
      <c r="A104" s="63" t="s">
        <v>272</v>
      </c>
      <c r="B104" s="60">
        <v>740</v>
      </c>
    </row>
    <row r="105" spans="1:2" ht="15.75" thickBot="1" x14ac:dyDescent="0.3">
      <c r="A105" s="63" t="s">
        <v>273</v>
      </c>
      <c r="B105" s="60">
        <v>660</v>
      </c>
    </row>
    <row r="106" spans="1:2" ht="15.75" thickBot="1" x14ac:dyDescent="0.3">
      <c r="A106" s="63" t="s">
        <v>274</v>
      </c>
      <c r="B106" s="60" t="s">
        <v>275</v>
      </c>
    </row>
    <row r="107" spans="1:2" ht="15.75" thickBot="1" x14ac:dyDescent="0.3">
      <c r="A107" s="63" t="s">
        <v>276</v>
      </c>
      <c r="B107" s="60">
        <v>630</v>
      </c>
    </row>
    <row r="108" spans="1:2" ht="15.75" thickBot="1" x14ac:dyDescent="0.3">
      <c r="A108" s="63" t="s">
        <v>277</v>
      </c>
      <c r="B108" s="60">
        <v>490</v>
      </c>
    </row>
    <row r="109" spans="1:2" ht="15.75" thickBot="1" x14ac:dyDescent="0.3">
      <c r="A109" s="63" t="s">
        <v>278</v>
      </c>
      <c r="B109" s="60">
        <v>570</v>
      </c>
    </row>
    <row r="110" spans="1:2" ht="15.75" thickBot="1" x14ac:dyDescent="0.3">
      <c r="A110" s="63" t="s">
        <v>279</v>
      </c>
      <c r="B110" s="60">
        <v>1000</v>
      </c>
    </row>
    <row r="111" spans="1:2" ht="15.75" thickBot="1" x14ac:dyDescent="0.3">
      <c r="A111" s="63" t="s">
        <v>280</v>
      </c>
      <c r="B111" s="60">
        <v>470</v>
      </c>
    </row>
    <row r="112" spans="1:2" ht="15.75" thickBot="1" x14ac:dyDescent="0.3">
      <c r="A112" s="63" t="s">
        <v>281</v>
      </c>
      <c r="B112" s="60" t="s">
        <v>267</v>
      </c>
    </row>
    <row r="113" spans="1:2" ht="15.75" thickBot="1" x14ac:dyDescent="0.3">
      <c r="A113" s="63" t="s">
        <v>282</v>
      </c>
      <c r="B113" s="60">
        <v>670</v>
      </c>
    </row>
    <row r="114" spans="1:2" ht="15.75" thickBot="1" x14ac:dyDescent="0.3">
      <c r="A114" s="64" t="s">
        <v>283</v>
      </c>
      <c r="B114" s="61">
        <v>790</v>
      </c>
    </row>
    <row r="115" spans="1:2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Charts</vt:lpstr>
      </vt:variant>
      <vt:variant>
        <vt:i4>1</vt:i4>
      </vt:variant>
    </vt:vector>
  </HeadingPairs>
  <TitlesOfParts>
    <vt:vector size="10" baseType="lpstr">
      <vt:lpstr>Calc Air Swept Per Acre Corn</vt:lpstr>
      <vt:lpstr>U.S. Corn Yield</vt:lpstr>
      <vt:lpstr>Air Density Data</vt:lpstr>
      <vt:lpstr>Land Devoted to Corn</vt:lpstr>
      <vt:lpstr>CO2 Concentration Vs. Height</vt:lpstr>
      <vt:lpstr>Corn Statistics</vt:lpstr>
      <vt:lpstr>Corn Stats Transposed</vt:lpstr>
      <vt:lpstr>Soybean Stats</vt:lpstr>
      <vt:lpstr>Wood Densities</vt:lpstr>
      <vt:lpstr>Air Density Vs Elevation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AmelseJeff</dc:creator>
  <cp:lastModifiedBy>AmelseJeff</cp:lastModifiedBy>
  <cp:lastPrinted>2019-08-11T13:04:41Z</cp:lastPrinted>
  <dcterms:created xsi:type="dcterms:W3CDTF">2019-02-01T18:12:20Z</dcterms:created>
  <dcterms:modified xsi:type="dcterms:W3CDTF">2020-05-08T22:02:49Z</dcterms:modified>
</cp:coreProperties>
</file>